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342"/>
  </bookViews>
  <sheets>
    <sheet name="soupis" sheetId="1" r:id="rId1"/>
  </sheets>
  <definedNames>
    <definedName name="_xlnm.Print_Area" localSheetId="0">soupis!$A$1:$K$606</definedName>
  </definedNames>
  <calcPr calcId="125725" iterateDelta="1E-4" fullPrecision="0"/>
</workbook>
</file>

<file path=xl/calcChain.xml><?xml version="1.0" encoding="utf-8"?>
<calcChain xmlns="http://schemas.openxmlformats.org/spreadsheetml/2006/main">
  <c r="H511" i="1"/>
  <c r="F507"/>
  <c r="H506"/>
  <c r="F501"/>
  <c r="H503"/>
  <c r="H500"/>
  <c r="F498"/>
  <c r="H497"/>
  <c r="H495"/>
  <c r="H493"/>
  <c r="H489"/>
  <c r="H491"/>
  <c r="H487"/>
  <c r="H603"/>
  <c r="H49" s="1"/>
  <c r="H601"/>
  <c r="H48" s="1"/>
  <c r="H599"/>
  <c r="H47" s="1"/>
  <c r="H373"/>
  <c r="H367"/>
  <c r="H364"/>
  <c r="H370"/>
  <c r="F362"/>
  <c r="H356"/>
  <c r="F346"/>
  <c r="F358"/>
  <c r="F354"/>
  <c r="F344"/>
  <c r="F335"/>
  <c r="H360"/>
  <c r="H352"/>
  <c r="H349"/>
  <c r="H337"/>
  <c r="H328"/>
  <c r="F509" l="1"/>
  <c r="H509" s="1"/>
  <c r="H486" s="1"/>
  <c r="F375"/>
  <c r="H375" s="1"/>
  <c r="H327" s="1"/>
  <c r="H32" s="1"/>
  <c r="F347"/>
  <c r="H36" l="1"/>
  <c r="H195" l="1"/>
  <c r="H190"/>
  <c r="F192"/>
  <c r="F191"/>
  <c r="F188"/>
  <c r="F185"/>
  <c r="F182"/>
  <c r="F179"/>
  <c r="F166"/>
  <c r="F176"/>
  <c r="H175"/>
  <c r="F165"/>
  <c r="F161"/>
  <c r="F160"/>
  <c r="F193" l="1"/>
  <c r="F167"/>
  <c r="F162"/>
  <c r="F286"/>
  <c r="F282"/>
  <c r="F280"/>
  <c r="F278"/>
  <c r="H290"/>
  <c r="H288"/>
  <c r="H285"/>
  <c r="H276"/>
  <c r="H273"/>
  <c r="F271"/>
  <c r="K269"/>
  <c r="H269"/>
  <c r="F156"/>
  <c r="F149"/>
  <c r="F142"/>
  <c r="F145" s="1"/>
  <c r="F135"/>
  <c r="H97"/>
  <c r="H94"/>
  <c r="F130"/>
  <c r="F128"/>
  <c r="H126"/>
  <c r="F124"/>
  <c r="H122"/>
  <c r="F109"/>
  <c r="F119"/>
  <c r="F116"/>
  <c r="F117"/>
  <c r="F113"/>
  <c r="F115"/>
  <c r="H100"/>
  <c r="F111"/>
  <c r="F107"/>
  <c r="F105"/>
  <c r="F103"/>
  <c r="F92"/>
  <c r="H91"/>
  <c r="F85"/>
  <c r="F81"/>
  <c r="H80"/>
  <c r="F77"/>
  <c r="F74"/>
  <c r="H72"/>
  <c r="F88"/>
  <c r="K69"/>
  <c r="H69"/>
  <c r="H83"/>
  <c r="H66"/>
  <c r="F67"/>
  <c r="K66"/>
  <c r="F63"/>
  <c r="F64" s="1"/>
  <c r="K60"/>
  <c r="H60"/>
  <c r="F283" l="1"/>
  <c r="F120"/>
  <c r="F131"/>
  <c r="F89"/>
  <c r="F78"/>
  <c r="F267" l="1"/>
  <c r="H265"/>
  <c r="F262"/>
  <c r="F263" s="1"/>
  <c r="H259"/>
  <c r="F257"/>
  <c r="F253"/>
  <c r="F249"/>
  <c r="H255"/>
  <c r="H251"/>
  <c r="H247"/>
  <c r="F245"/>
  <c r="H244"/>
  <c r="F242"/>
  <c r="F239"/>
  <c r="H241"/>
  <c r="H237"/>
  <c r="H234"/>
  <c r="F216"/>
  <c r="F217" s="1"/>
  <c r="H212"/>
  <c r="F210"/>
  <c r="F205"/>
  <c r="F206" s="1"/>
  <c r="H208"/>
  <c r="H199"/>
  <c r="H594"/>
  <c r="H591"/>
  <c r="H233" l="1"/>
  <c r="H27" s="1"/>
  <c r="H198"/>
  <c r="H25" s="1"/>
  <c r="H590"/>
  <c r="H39" s="1"/>
  <c r="F231" l="1"/>
  <c r="H229"/>
  <c r="F227"/>
  <c r="H225"/>
  <c r="F223"/>
  <c r="H220"/>
  <c r="H378"/>
  <c r="F459"/>
  <c r="F457"/>
  <c r="K455"/>
  <c r="H455"/>
  <c r="H450"/>
  <c r="F451"/>
  <c r="F448"/>
  <c r="H219" l="1"/>
  <c r="H26" s="1"/>
  <c r="F460"/>
  <c r="H445" l="1"/>
  <c r="F443"/>
  <c r="H442"/>
  <c r="F440" l="1"/>
  <c r="H438"/>
  <c r="H429"/>
  <c r="F436"/>
  <c r="F433"/>
  <c r="F430"/>
  <c r="H435"/>
  <c r="H432"/>
  <c r="F426"/>
  <c r="F423"/>
  <c r="F420"/>
  <c r="H418"/>
  <c r="H415"/>
  <c r="F416"/>
  <c r="H412"/>
  <c r="F476"/>
  <c r="F473"/>
  <c r="F413"/>
  <c r="F409"/>
  <c r="F407"/>
  <c r="H405"/>
  <c r="F403"/>
  <c r="F393"/>
  <c r="F391"/>
  <c r="F389"/>
  <c r="H401"/>
  <c r="F398"/>
  <c r="F395"/>
  <c r="H386"/>
  <c r="F384"/>
  <c r="H382"/>
  <c r="F380"/>
  <c r="F322"/>
  <c r="F320"/>
  <c r="F318"/>
  <c r="F314"/>
  <c r="F311"/>
  <c r="H310"/>
  <c r="F304"/>
  <c r="F301"/>
  <c r="F308"/>
  <c r="H313"/>
  <c r="H303"/>
  <c r="F298"/>
  <c r="F550"/>
  <c r="F537"/>
  <c r="F561"/>
  <c r="F552"/>
  <c r="F549"/>
  <c r="H300"/>
  <c r="H316"/>
  <c r="H306"/>
  <c r="H297"/>
  <c r="H475"/>
  <c r="H470"/>
  <c r="F468"/>
  <c r="H466"/>
  <c r="F464"/>
  <c r="H463"/>
  <c r="F410" l="1"/>
  <c r="F427"/>
  <c r="F399"/>
  <c r="F325"/>
  <c r="H325" s="1"/>
  <c r="H296" s="1"/>
  <c r="H31" s="1"/>
  <c r="F553"/>
  <c r="F323"/>
  <c r="F478"/>
  <c r="H481" l="1"/>
  <c r="F562"/>
  <c r="F559"/>
  <c r="F557"/>
  <c r="F538"/>
  <c r="F535"/>
  <c r="F533"/>
  <c r="F528"/>
  <c r="F527"/>
  <c r="F526"/>
  <c r="F525"/>
  <c r="F524"/>
  <c r="F521"/>
  <c r="F520"/>
  <c r="F519"/>
  <c r="F518"/>
  <c r="H568"/>
  <c r="H565"/>
  <c r="H555"/>
  <c r="H547"/>
  <c r="H544"/>
  <c r="H541"/>
  <c r="H531"/>
  <c r="H515"/>
  <c r="F588"/>
  <c r="H586"/>
  <c r="F584"/>
  <c r="H582"/>
  <c r="F580"/>
  <c r="H578"/>
  <c r="H575"/>
  <c r="H572"/>
  <c r="H514" l="1"/>
  <c r="H37" s="1"/>
  <c r="F484"/>
  <c r="H484" s="1"/>
  <c r="H480" s="1"/>
  <c r="H35" s="1"/>
  <c r="F539"/>
  <c r="F563"/>
  <c r="F529"/>
  <c r="H571"/>
  <c r="H38" s="1"/>
  <c r="H154" l="1"/>
  <c r="H151"/>
  <c r="H147"/>
  <c r="H137"/>
  <c r="H59" l="1"/>
  <c r="H23" s="1"/>
  <c r="H181"/>
  <c r="H178"/>
  <c r="H172"/>
  <c r="H164"/>
  <c r="H159"/>
  <c r="H169"/>
  <c r="H184"/>
  <c r="H187"/>
  <c r="H158" l="1"/>
  <c r="H478"/>
  <c r="H462" s="1"/>
  <c r="H34" s="1"/>
  <c r="H24" l="1"/>
  <c r="F293"/>
  <c r="H293" s="1"/>
  <c r="H28" s="1"/>
  <c r="F453"/>
  <c r="H453" s="1"/>
  <c r="H377" s="1"/>
  <c r="H33" s="1"/>
  <c r="H50" l="1"/>
  <c r="H14" s="1"/>
  <c r="H15" s="1"/>
  <c r="H16" s="1"/>
</calcChain>
</file>

<file path=xl/sharedStrings.xml><?xml version="1.0" encoding="utf-8"?>
<sst xmlns="http://schemas.openxmlformats.org/spreadsheetml/2006/main" count="1142" uniqueCount="484">
  <si>
    <t>KRYCÍ LIST SOUPISU</t>
  </si>
  <si>
    <t>Stavba</t>
  </si>
  <si>
    <t>Místo</t>
  </si>
  <si>
    <t>Zadavatel</t>
  </si>
  <si>
    <t>Uchazeč</t>
  </si>
  <si>
    <t>Projektant</t>
  </si>
  <si>
    <t>AP ATELIER ING.ARCH JOSEF PLESKOT KOMUNARDŮ 1529/4, PRAHA 7</t>
  </si>
  <si>
    <t>CENA BEZ DPH</t>
  </si>
  <si>
    <t xml:space="preserve">DPH </t>
  </si>
  <si>
    <t>CENA S DPH</t>
  </si>
  <si>
    <t>REKAPITULACE ČLENĚNÍ SOUPISU PRACÍ</t>
  </si>
  <si>
    <t>kod dílu</t>
  </si>
  <si>
    <t>popis dílu</t>
  </si>
  <si>
    <t>cena czk</t>
  </si>
  <si>
    <t>HSV</t>
  </si>
  <si>
    <t>PRÁCE A DODÁVKY HSV</t>
  </si>
  <si>
    <t>Zemní práce</t>
  </si>
  <si>
    <t xml:space="preserve">Základy </t>
  </si>
  <si>
    <t>Úpravy povrchů, podlahy</t>
  </si>
  <si>
    <t>Přesun hmot HSV</t>
  </si>
  <si>
    <t>PSV</t>
  </si>
  <si>
    <t>PRÁCE A DODÁVKY PSV</t>
  </si>
  <si>
    <t>Izolace proti vodě</t>
  </si>
  <si>
    <t>Izolace tepelné</t>
  </si>
  <si>
    <t>Tesařské konstrukce</t>
  </si>
  <si>
    <t>Klempířské konstrukce</t>
  </si>
  <si>
    <t>Zámečnické konstrukce</t>
  </si>
  <si>
    <t>Nátěry</t>
  </si>
  <si>
    <t>TZB</t>
  </si>
  <si>
    <t>Vytápění</t>
  </si>
  <si>
    <t>Silnoproud</t>
  </si>
  <si>
    <t>Hasící přístroje</t>
  </si>
  <si>
    <t xml:space="preserve">Zařízení staveniště </t>
  </si>
  <si>
    <t>Dokumentace skutečného provedení stavby</t>
  </si>
  <si>
    <t>Celkem  bez DPH</t>
  </si>
  <si>
    <t xml:space="preserve">SOUPIS PRACÍ </t>
  </si>
  <si>
    <t>č</t>
  </si>
  <si>
    <t>typ</t>
  </si>
  <si>
    <t>kód</t>
  </si>
  <si>
    <t>popis</t>
  </si>
  <si>
    <t>mj</t>
  </si>
  <si>
    <t>množství</t>
  </si>
  <si>
    <t>cena jednotky</t>
  </si>
  <si>
    <t>cena celkem</t>
  </si>
  <si>
    <t>cenová soustava</t>
  </si>
  <si>
    <t>D</t>
  </si>
  <si>
    <t>K</t>
  </si>
  <si>
    <t>m</t>
  </si>
  <si>
    <t>p</t>
  </si>
  <si>
    <t>vv</t>
  </si>
  <si>
    <t>celkem</t>
  </si>
  <si>
    <t>m3</t>
  </si>
  <si>
    <t>m2</t>
  </si>
  <si>
    <t>t</t>
  </si>
  <si>
    <t>M</t>
  </si>
  <si>
    <t>ks</t>
  </si>
  <si>
    <t>ZÁKLADY</t>
  </si>
  <si>
    <t>%</t>
  </si>
  <si>
    <t>URS 2016</t>
  </si>
  <si>
    <t>IZOLACE TEPELNÉ</t>
  </si>
  <si>
    <t>28372S01</t>
  </si>
  <si>
    <t>Montáž tepelné izolace stěn lepením celoplošně</t>
  </si>
  <si>
    <t>kg</t>
  </si>
  <si>
    <t>Bednění základových stěn pasů, svislé,ve volných jámách, zřízení</t>
  </si>
  <si>
    <t>Bednění základových stěn pasů, svislé, ve volných jámách, odstranění</t>
  </si>
  <si>
    <t>Bednění základových stěn desek, svislé,ve volných jámách, zřízení</t>
  </si>
  <si>
    <t>Bednění základových stěn desek,svislé,ve volných jámách,odstranění</t>
  </si>
  <si>
    <t>výměra dle pol.5</t>
  </si>
  <si>
    <t>NÁTĚRY</t>
  </si>
  <si>
    <t>KONSTRUKCE TESAŘSKÉ</t>
  </si>
  <si>
    <t>ÚPRAVY POVRCHŮ, PODLAHY</t>
  </si>
  <si>
    <t>TECHNICKÁ ZAŘÍZENÍ</t>
  </si>
  <si>
    <t>Potěr cementový běžný tl. přes 10 do 20mm, tř.C20</t>
  </si>
  <si>
    <t>URS2016</t>
  </si>
  <si>
    <t>ZEMNÍ PRÁCE</t>
  </si>
  <si>
    <t>výměra dle pol.1</t>
  </si>
  <si>
    <t>Zásyp sypaniny z jakékoliv horniny se zhutněním, uvnitř objektu</t>
  </si>
  <si>
    <t>Vodorovné přemístění výkopku nebo sypaniny tř.1 až 4 na vzdálenosti přes 9000 do 10000 m</t>
  </si>
  <si>
    <t>Příplatek k ceně za každých dalších i započatých 1 000 m vzdálenosti</t>
  </si>
  <si>
    <t>Uložení sypaniny na skládce</t>
  </si>
  <si>
    <t>Poplatek za uložení sypaniny na skládce</t>
  </si>
  <si>
    <t>výměra dle pol.2</t>
  </si>
  <si>
    <t>objem výkopů</t>
  </si>
  <si>
    <t>odpočet zásypy</t>
  </si>
  <si>
    <t>výměra dle pol.4</t>
  </si>
  <si>
    <t>výměra  dle pol.10</t>
  </si>
  <si>
    <t xml:space="preserve">výměra  m3 dle pol.10 </t>
  </si>
  <si>
    <t xml:space="preserve">Montáž  tepelné izolace podlah rohožemi, pásy, deskami kladenými volně, jednovrstvá </t>
  </si>
  <si>
    <t>Práce společné pro tesařské konstrukce, impregnace řeziva proti dřevokaznému hmyzu, třída ohrožení 1 a 2 dřevo v interiéru</t>
  </si>
  <si>
    <t>Odvoz suti a vybouraných hmot na skládku se složením, vzdálenost 1 km</t>
  </si>
  <si>
    <t>Příplatek k ceně za každý další i započatý 1 km přes 1 km</t>
  </si>
  <si>
    <t>OK</t>
  </si>
  <si>
    <t>OK01</t>
  </si>
  <si>
    <t>hmotnost dle tabulky výkresu statiky D.1.2.5</t>
  </si>
  <si>
    <t>OK02</t>
  </si>
  <si>
    <t>hmotnost dle tabulky výkresu statiky D.1.2.4</t>
  </si>
  <si>
    <t>OK03</t>
  </si>
  <si>
    <t>40,81*5</t>
  </si>
  <si>
    <t>sloupek S01 - 5ks</t>
  </si>
  <si>
    <t>sloupek S02 - 2ks</t>
  </si>
  <si>
    <t>19,31*2</t>
  </si>
  <si>
    <t>OK04</t>
  </si>
  <si>
    <t>OK05</t>
  </si>
  <si>
    <t>sloupek S03P - 7ks, S03L - 6ks</t>
  </si>
  <si>
    <t>29,41*13</t>
  </si>
  <si>
    <t>Ocelová stropní  konstrukce, z plechu P8 , TR38/4 a TR 178/8, ocel S235, spoje v parotěsném provedení, dodávka, montáž, dopravné, přesun</t>
  </si>
  <si>
    <t>Ocelová střešní konstrukce, z plechu P8 a TR38/4, ocel S235, dodávka, montáž, dopravné přesun</t>
  </si>
  <si>
    <t>Ocelový sloupek, z Ja 80/6, P10 a P16, ocel S235, hmotnost sloupku 40,81kg, kotvení 2x M16, dodávka, montáž, dopravné, přesun</t>
  </si>
  <si>
    <t>Ocelový sloupek, z Ja 80/50/3, P10 a P16, ocel S235, hmotnost sloupku 19,31kg, kotvení 2x M16, dodávka, montáž, dopravné, přesun</t>
  </si>
  <si>
    <t>Ocelový sloupek, z Ja  50/20/3, Ja 50/3, P10 a P30/5, ocel S235, hmotnost sloupku 29,41kg, kotvení 4x M16,  dodávka, montáž, dopravné, přesun</t>
  </si>
  <si>
    <t>OCELOVÉ KONSTRUKCE</t>
  </si>
  <si>
    <t>Základní nátěr ocelových konstrukcí syntetický, antikorozní, konstrukcí plnostěnných</t>
  </si>
  <si>
    <t>Základní nátěr ocelových konstrukcí syntetický, konstrukcí velmi lehkých</t>
  </si>
  <si>
    <t>Mezinátěr ocelových konstrukcí syntetický, konstrukcí plnostěnných</t>
  </si>
  <si>
    <t>Mezinátěr ocelových konstrukcí syntetický, konstrukcí velmi lehkých</t>
  </si>
  <si>
    <t>Vrchní nátěr ocelových konstrukcí syntetický, konstrukcí plnostěnných</t>
  </si>
  <si>
    <t>Vrchní nátěr ocelových konstrukcí syntetický, konstrukcí velmi lehkých</t>
  </si>
  <si>
    <t>Příprava podkladu ocelových konstrukcí před provedením nátěru, odmaštění, odmašťovačen, vodou ředitelným, konstrukcí plnostěnných</t>
  </si>
  <si>
    <t>Příprava podkladu ocelových konstrukcí před provedením nátěru, odmaštění, odmašťovačen, vodou ředitelným, konstrukcí velmi lehkých</t>
  </si>
  <si>
    <t>konstrukce zastřešení, oboustranně, všechny části</t>
  </si>
  <si>
    <t>(1,32+0,47+1,23+0,39+1,60+1,47+0,94+1,15+0,81+0,69+0,43+1,14)*2</t>
  </si>
  <si>
    <t>(0,37+0,69+0,86+0,51+0,03+0,15+0,17+0,14+0,23+0,17+0,20+0,10)*2</t>
  </si>
  <si>
    <t>(0,29+0,29+0,06+0,20+0,20+0,10+0,10+0,10+1,14+9,18+16,66)*2</t>
  </si>
  <si>
    <t>(9,49+8,29+0,70+0,27+0,02+0,08+0,12+0,16+0,19+0,23+0,28+0,17)*2</t>
  </si>
  <si>
    <t>(0,08+0,30+0,34+0,37+0,38+0,64+0,25+0,63+0,23+0,11+0,22)*2</t>
  </si>
  <si>
    <t>3,14*0,038*2*6*0,05*2</t>
  </si>
  <si>
    <t>3,14*0,038*2*0,29*6*2</t>
  </si>
  <si>
    <t>0,05*0,05*12*2</t>
  </si>
  <si>
    <t>3,17*0,178*2*0,10*2</t>
  </si>
  <si>
    <t>sloupky S01</t>
  </si>
  <si>
    <t>sloupky S03</t>
  </si>
  <si>
    <t>(0,08*0,08+0,08*4*2,704+0,27*0,08*2+(0,27+0,08)*2*0,016)*5</t>
  </si>
  <si>
    <t>(0,08*0,05+(0,08+0,05)*2*2,704+0,27*0,08*2+(0,27+0,08)*2*0,016)*2</t>
  </si>
  <si>
    <t>(0,27*0,05*2+0,27*0,08*2+(0,27+0,05)*2*0,01+(0,27+0,08)*2*0,016)*13</t>
  </si>
  <si>
    <t>0,08*4*2,50*5</t>
  </si>
  <si>
    <t>(0,08+0,05)*2*2,50*2</t>
  </si>
  <si>
    <t>(0,27*0,05+(0,27+0,05)*2*0,01)*13</t>
  </si>
  <si>
    <t>výměra dle pol.6</t>
  </si>
  <si>
    <t>78315R001</t>
  </si>
  <si>
    <t>78315R002</t>
  </si>
  <si>
    <t>78315R004</t>
  </si>
  <si>
    <t>78315R005</t>
  </si>
  <si>
    <t>78315R006</t>
  </si>
  <si>
    <t>78315R007</t>
  </si>
  <si>
    <t>78315R008</t>
  </si>
  <si>
    <t>78315R009</t>
  </si>
  <si>
    <t>KONSTRUKCE KLEMPÍŘSKÉ</t>
  </si>
  <si>
    <t>76454R001</t>
  </si>
  <si>
    <t>Přesun hmot oboru 764, v objektech výšky do 6m, % sazbou</t>
  </si>
  <si>
    <t>ozn.K9</t>
  </si>
  <si>
    <t>(9,785+0,22)*0,20</t>
  </si>
  <si>
    <t>76234R001</t>
  </si>
  <si>
    <t>76234R002</t>
  </si>
  <si>
    <t>v rozteči cca 0,5m</t>
  </si>
  <si>
    <t>0,20*21</t>
  </si>
  <si>
    <t>Montáž podkladních hranolů pod bednění žlabu, volným položením, se seříznutím pro spád</t>
  </si>
  <si>
    <t>Bednění střešních žlabů s vytvoření, spádu dna, z desek dřevoštěpkových OSB, šroubovaných na podkladní hranoly, na sraz, tl.10mm, dodávka montáž, spojovací prostředky</t>
  </si>
  <si>
    <t>Přesun hmot oboru 762,  v objektech výšky do 6m, % sazbou</t>
  </si>
  <si>
    <t>Provedení izolace proti zemní vlhkosti nátěrem penetračním na ploše vodorovné</t>
  </si>
  <si>
    <t>11163S01</t>
  </si>
  <si>
    <t>Provedení izolace proti zemní vlhkosti pásy přitavením NAIP na ploše vodorovné</t>
  </si>
  <si>
    <t>Provedení izolace proti zemní vlhkosti nátěrem penetračním na ploše svislé</t>
  </si>
  <si>
    <t>plochy plechů  m2, délky trubek  dle tabulky výkresu statiky D1.2.5</t>
  </si>
  <si>
    <t>konstrukce podhledu, oboustranně, všechny části</t>
  </si>
  <si>
    <t>plochy plechů m2, délky trubek  dle tabulky výkresu statiky D1.2.4</t>
  </si>
  <si>
    <t>průměrná výška (0,18+0,04)*0,5=0,11m</t>
  </si>
  <si>
    <t>IZOLACE PROTI VODĚ A VLHKOSTI</t>
  </si>
  <si>
    <t xml:space="preserve">konstrukce pohledu, </t>
  </si>
  <si>
    <t>konstrukce zastřešení,</t>
  </si>
  <si>
    <t>11,33*4,56*0,5+4,56*0,25+11,33*0,25</t>
  </si>
  <si>
    <t>(3,79+0,22)*0,5*8,91+0,189*0,20*0,5+(8,75+3,40)*0,10</t>
  </si>
  <si>
    <t>((0,05+0,02+0,05+0,05)*2*2,50+(0,03+0,005)*2*3,60)*13</t>
  </si>
  <si>
    <t>((0,05+0,02+0,05+0,05)*2*2,694+(0,03+0,005)*2*3,60)*13</t>
  </si>
  <si>
    <t>11,33*(2,75-2,58)*0,5+12,206*(0,25+0,08)*0,5</t>
  </si>
  <si>
    <t>(3,92+1,80)*0,5*5,271+1,673*0,68*0,5+1,673*3,55*0,5</t>
  </si>
  <si>
    <t>Asfaltový penetračně adhezní nátěr</t>
  </si>
  <si>
    <t>výměra dle pol.1- 2x</t>
  </si>
  <si>
    <t>18,61*2</t>
  </si>
  <si>
    <t>(3,985+8,99+0,235+9,72)*0,25+3,14*0,14*0,15</t>
  </si>
  <si>
    <t>18,61*0,00030+5,80*0,00035</t>
  </si>
  <si>
    <t>Provedení izolace proti zemní vlhkosti pásy přitavením NAIP na ploše svislé</t>
  </si>
  <si>
    <t>Provedení detailů pásy přitavením, spojů obrácených</t>
  </si>
  <si>
    <t>(3,985+8,99+0,235)*0,25+9,82*0,25*2+3,14*0,14*0,15*2</t>
  </si>
  <si>
    <t>3,95+8,99+0,235</t>
  </si>
  <si>
    <t>Přesun hmot oboru 711 v objektech výšky  do 6m</t>
  </si>
  <si>
    <t>62855S02</t>
  </si>
  <si>
    <t>Pás s modifikovaným asfaltem min. tl.4mm s výztužnou vložkou ze stabilizovaného polyesteru</t>
  </si>
  <si>
    <t>k pol.4 +15%NSM</t>
  </si>
  <si>
    <t>k pol.5+20%NSM</t>
  </si>
  <si>
    <t>37,22*1,15</t>
  </si>
  <si>
    <t>8,34*1,20</t>
  </si>
  <si>
    <t>k pol.6 - 0,60m2/bm</t>
  </si>
  <si>
    <t>13,18*0,50</t>
  </si>
  <si>
    <t>skladba S1</t>
  </si>
  <si>
    <t>(8,99+0,2)*0,5*3,985+0,20*0,15*0,5</t>
  </si>
  <si>
    <t>Desky z expandovaného polystyrenu pro podlahy EPS 150S Stabil, tl.80mm</t>
  </si>
  <si>
    <t xml:space="preserve">k pol.1 </t>
  </si>
  <si>
    <t>18,33*1,02 (+2%NSM)</t>
  </si>
  <si>
    <t>nad plochou podhledové ocelové desky</t>
  </si>
  <si>
    <t>horní vrstva tl.150mm</t>
  </si>
  <si>
    <t>nad plochou střešního žlabu tl.100mm</t>
  </si>
  <si>
    <t>(3,79+0,22)*0,5*8,91+0,189*0,20*0,5-0,40*0,22*11</t>
  </si>
  <si>
    <t>desky z pěnoskla</t>
  </si>
  <si>
    <t>0,40*0,22*11</t>
  </si>
  <si>
    <t xml:space="preserve">Montáž  tepelné izolace stropů rohožemi, pásy, deskami kladenými volně, jednovrstvá </t>
  </si>
  <si>
    <t>dolní vrstva tl.100mm</t>
  </si>
  <si>
    <t>horní vrstva nad plochou podhledové desky - m2 z výměry pol.3</t>
  </si>
  <si>
    <t>16,92*1,02 (+2%NSM)</t>
  </si>
  <si>
    <t>Desky z kamenné vlny, tuhé pojené organickou pryskyřicí a v celém objemu hydrofobizované, s horní cca 20mm vrstvou odolnou proti mechanickému namáhání, napětí v tlaku při stlačení 10%  ≥90kPa, tl.150mm</t>
  </si>
  <si>
    <t>63152S02</t>
  </si>
  <si>
    <t>63152S03</t>
  </si>
  <si>
    <t>Desky z kamenné vlny, tuhé pojené organickou pryskyřicí a v celém objemu hydrofobizované, s horní cca 20mm vrstvou odolnou proti mechanickému namáhání, napětí v tlaku při stlačení 10%  ≥90kPa, tl.100mm</t>
  </si>
  <si>
    <t>(9,785+0,22)*0,20*1,02 (+2% NSM)</t>
  </si>
  <si>
    <t>63152S04</t>
  </si>
  <si>
    <t>převýšení žlabu (spád): 2,65-2,60= 0,05m</t>
  </si>
  <si>
    <t>průměrná výška 0,05*0,5</t>
  </si>
  <si>
    <t>4,20*0,05*0,05*0,5*1,10 (+10% ztratné)</t>
  </si>
  <si>
    <t>Řezivo jehličnaté latě do 25cm2</t>
  </si>
  <si>
    <t>60514S01</t>
  </si>
  <si>
    <t>nad plochou střešního žlabu tl. 0-50mm</t>
  </si>
  <si>
    <t>0,40*0,22*11*1,02 (+2%NSM)</t>
  </si>
  <si>
    <t>63481S05</t>
  </si>
  <si>
    <t>Desky z pěnového skla tl.250mm, s vysokou pevností v tlaku</t>
  </si>
  <si>
    <t>Montáž tepelné izolace stěn vložením jednovrstvá</t>
  </si>
  <si>
    <t>dotěsnění za  žlabem tl.20mm dle detailu D3</t>
  </si>
  <si>
    <t>dotěsnění za krycím oplechováním K3 tl.50mm dle detailu D4</t>
  </si>
  <si>
    <t>bm dle ozn.K3</t>
  </si>
  <si>
    <t>12,00*0,05</t>
  </si>
  <si>
    <t>dotěsnění za krycím oplechováním K4 tl.60mm dle detailu D3</t>
  </si>
  <si>
    <t>10,00*0,19</t>
  </si>
  <si>
    <t>bm dle ozn.K4</t>
  </si>
  <si>
    <t xml:space="preserve">(9,782+0,22)*0,10 </t>
  </si>
  <si>
    <t>63152S06</t>
  </si>
  <si>
    <t>Desky z minerální vlny tl.20mm</t>
  </si>
  <si>
    <t>1,00*1,02 (+2%NSM)</t>
  </si>
  <si>
    <t>0,60*1,02 (+2%NSM)</t>
  </si>
  <si>
    <t>1,90*1,02 (+2%NSM)</t>
  </si>
  <si>
    <t>63152S07</t>
  </si>
  <si>
    <t>63152S08</t>
  </si>
  <si>
    <t>Desky z minerální vlny tl.50mm</t>
  </si>
  <si>
    <t>Desky z minerální vlny tl.60mm</t>
  </si>
  <si>
    <t>71319R001</t>
  </si>
  <si>
    <t xml:space="preserve"> Montáž tepelné izolace  stavebních konstrucí, doplňky, překrytím geotextilií</t>
  </si>
  <si>
    <t>Geotextilie technická netkaná vpichovaná syntetická , plošná hmotnost 300g/m2, 100% syntet. vláken POP</t>
  </si>
  <si>
    <t>18,33*1,05 (+5%NSM)</t>
  </si>
  <si>
    <t>doplnění izolace po provedení průchodky, dle výkresů výkopů D.1.1.3</t>
  </si>
  <si>
    <t>od -1,20 na -0,50</t>
  </si>
  <si>
    <t>1,00*(1,20-0,50)</t>
  </si>
  <si>
    <t>69311S09</t>
  </si>
  <si>
    <t>28372S10</t>
  </si>
  <si>
    <t>Desky z pěnového polystyrenu, vypěňovaného do forem, pro izolaci  základových konstrukcí, mrazuvzdorné, nenasákavé, tl.100mm</t>
  </si>
  <si>
    <t>1,00*(1,20-0,50)*1,02 (+2%NSM)</t>
  </si>
  <si>
    <t>Přesun hmot oboru 713 v objektech výšky  do 6m</t>
  </si>
  <si>
    <t>styk přístavby se stávající budovou do hloubky -0,50</t>
  </si>
  <si>
    <t>Odstranění tepelné izolace běžných stavebních konstrukcí, z rohoží, pásů, desek, připevněných lepením, stěn, tlouštky izolace do 100mm</t>
  </si>
  <si>
    <t>9,835*0,50</t>
  </si>
  <si>
    <t>prohloubení  pro prvedení průchodky</t>
  </si>
  <si>
    <t>Desky z kamenné vlny, tuhé pojené organickou pryskyřicí a v celém objemu hydrofobizované, s horní cca 20mm vrstvou odolnou proti mechanickému namáhání, napětí v tlaku při stlačení 10%  ≥90kPa, tl.0-50mm, klínky 0-0,05m</t>
  </si>
  <si>
    <t>pod základovou deskou mezi pasy a tepelnou izolací stávajícího objektu</t>
  </si>
  <si>
    <t>3,55*0,855+(3,07+1,10)*0,5*4,98+1,10*0,40*0,5</t>
  </si>
  <si>
    <t>62464R001</t>
  </si>
  <si>
    <t>kolem prostupu stávajícího sloupu dle detailu D5</t>
  </si>
  <si>
    <t>2*3,14*(0,14+0,01*2)*3*2</t>
  </si>
  <si>
    <t>62464R002</t>
  </si>
  <si>
    <t>2*3,14*(0,14+0,01*2)*2</t>
  </si>
  <si>
    <t>Těsnění spar těsnícím provazcem z pěnového polyetylenu, šířky do 10mm</t>
  </si>
  <si>
    <t>Těsnění spar bitumenovým tmelem, šířky do 10mm</t>
  </si>
  <si>
    <t>ROZŠÍŘENÍ PRODEJNY ZÁZEMÍ PRO VÝCHOVNĚ VZDĚLÁVACÍ ČINNOST V ZOO PRAHA</t>
  </si>
  <si>
    <t>AREÁL ZOO PRAHA, U TROJSKÉHO ZÁMKU 120/3, 17100 PRAHA 7 -TRÓJA</t>
  </si>
  <si>
    <t xml:space="preserve"> ZOO PRAHA, U TROJSKÉHO ZÁMKU 120/3, 17100 PRAHA 7 -TRÓJA</t>
  </si>
  <si>
    <t>Povlakové krytiny</t>
  </si>
  <si>
    <t>Ocelová konstrukce</t>
  </si>
  <si>
    <t>Dokončující práce</t>
  </si>
  <si>
    <t>ZPEVNĚNÉ PLOCHY</t>
  </si>
  <si>
    <t>Zpevněné plochy</t>
  </si>
  <si>
    <t>Svod z titanzinkového lesklého válcovaného plechu kruhový včetně objímek, o průměru 125mm</t>
  </si>
  <si>
    <t>HP</t>
  </si>
  <si>
    <t>HASÍCÍ PŘÍSTROJE</t>
  </si>
  <si>
    <t>44932s01</t>
  </si>
  <si>
    <t>Instalace hasících přístrojů, držák v ceně</t>
  </si>
  <si>
    <t>1ks</t>
  </si>
  <si>
    <t>Ruční hasící přístroj práškový, hasící schopnost 21A/183B</t>
  </si>
  <si>
    <t>Revize elektro</t>
  </si>
  <si>
    <t>Kladení dlažby z kostek, s provedením lože do 50mm, z kostek drobných, do lože z kameniva těženého</t>
  </si>
  <si>
    <t>skladba S2</t>
  </si>
  <si>
    <t>skladba S3</t>
  </si>
  <si>
    <t>Příplatek za dalších 10mm tlouštky lože z kameniva těženého</t>
  </si>
  <si>
    <t>vnější dlažba : 85,00m2</t>
  </si>
  <si>
    <t>odpočet plochy dlažby tvarujících obrub (dvojřádky do betonu)</t>
  </si>
  <si>
    <t>-(8,10+8,20+8,60+8,20+8,55)*0,20</t>
  </si>
  <si>
    <t>lože 70mm, započteno 50mm, 2x příplatek</t>
  </si>
  <si>
    <t>94,87*2</t>
  </si>
  <si>
    <t>Podklad ze štěrkodrti s rozprostřením a zhutněním, po zhutnění tloušťky 180mm</t>
  </si>
  <si>
    <t>DOKONČUJÍCÍ PRÁCE</t>
  </si>
  <si>
    <t>Vyčištění budovy před předáním do užívání,při světlé výšce podlaží do 4 m</t>
  </si>
  <si>
    <t>Lešení pomocné pracovní pro zatížení do 150 kg/m2, o výšce lešeňové podlahy do 1,9 m</t>
  </si>
  <si>
    <t>uzavřená část: 18,20m2</t>
  </si>
  <si>
    <t>plocha pod zastřešením</t>
  </si>
  <si>
    <t>11,38*4,56*0,5</t>
  </si>
  <si>
    <t>8,99+4,56</t>
  </si>
  <si>
    <t>Osazení odvodňovacího žlabu polymerbetonového, šířky do 200mm, včetně obetonování a lože</t>
  </si>
  <si>
    <t>59227S01</t>
  </si>
  <si>
    <t>Žlab odvodňovací z polymerického betonu Aco DRAIN 100, včetně krycího roštu</t>
  </si>
  <si>
    <t>Osazení silniční obruby z dlažebních kostek v jedné řadě, z drobných kostek s boční opěrou z betonu tř. C12/15 do lože z betonu prostého téže značky</t>
  </si>
  <si>
    <t>Osazení silniční obruby z dlažebních kostek v jedné řadě, z drobných kostek bez boční opěry do lože z betonu prostého tř.C12/15</t>
  </si>
  <si>
    <t>Lože pod obrubníky nebo obruby z dlažeb. kostek z betonu prostého tř.C12/15</t>
  </si>
  <si>
    <t>8,10+8,20+8,60+8,20+8,55</t>
  </si>
  <si>
    <t>(8,10+8,20+8,60+8,20+8,55)*0,30*(0,07+0,18-0,10)</t>
  </si>
  <si>
    <t xml:space="preserve">skladba S1 </t>
  </si>
  <si>
    <t>dlažba v prodejně: 18,20m2, s využitím demontované dlažby</t>
  </si>
  <si>
    <t>vnější dlažba : 85,00m2, s využitím demontované dlažby</t>
  </si>
  <si>
    <t>tvarující obruby 1. řada v dvojřádku, s využitím demontované dlažby</t>
  </si>
  <si>
    <t>tvarující obruby 2. řada v dvojřádku, s využitím demontované dlažby</t>
  </si>
  <si>
    <t>dopočet lože tl. nad 100mm</t>
  </si>
  <si>
    <t>Očištění vybouraných dlažebních kostek od spojovacího materiálu, s uložením očištěných kostek na skládku, s odklizením odpadových hmot na hromady, kostek malých, s původním vyplněním spar kamenivem</t>
  </si>
  <si>
    <t>rozebíraná plocha: 104,00m2</t>
  </si>
  <si>
    <t>odpočet plocha tvarujících obrub</t>
  </si>
  <si>
    <t>(8,90+8,70+9,70+8,40+7,70+7,90)*0,20</t>
  </si>
  <si>
    <t>-(8,90+8,70+9,70+8,40+7,70+7,90)*0,20</t>
  </si>
  <si>
    <t>plocha tvarujících obrub</t>
  </si>
  <si>
    <t>(8,90+8,70+9,70+8,40+7,70+7,90)*2</t>
  </si>
  <si>
    <t>Vodorovná doprava vybouraných hmot bez naložení, se složením, do 1km</t>
  </si>
  <si>
    <t>Vytrhání obrub s vybouráním lože z dlažebních kostek, s naložením</t>
  </si>
  <si>
    <t>Bourání žlabu odvodňovacího betonového nebo polymerbetonového s krycím roštem, šířky do 200mm</t>
  </si>
  <si>
    <t>rušený žlab: 10,20m</t>
  </si>
  <si>
    <t>102,60*0,115 +10,20*0,900</t>
  </si>
  <si>
    <t>z hmotnosti bouraných obrub se odpočítá hmotnost ponechaných kostek</t>
  </si>
  <si>
    <t>kostky 100/100/100mm hmotnost na 1m2 cca 0,240t</t>
  </si>
  <si>
    <t>-(8,90+8,70+9,70+8,40+7,70+7,90)*0,20*0,240</t>
  </si>
  <si>
    <t>w</t>
  </si>
  <si>
    <t>Vodorovná doprava suti bez naložení, se složením, do 1km</t>
  </si>
  <si>
    <t>odvoz suti dle pol.1, po odpočtu hmotnosti kostek ponechaných</t>
  </si>
  <si>
    <t>93,74*0,320</t>
  </si>
  <si>
    <t>z hmotnosti  se odpočítá hmotnost ponechaných kostek</t>
  </si>
  <si>
    <t>-93,74*0,240</t>
  </si>
  <si>
    <t>Příplatek k ceně vodorovné dopravy suti za další i započatý km</t>
  </si>
  <si>
    <t>7,497*(20-1)</t>
  </si>
  <si>
    <t>odvoz hmot dle pol.2 a 3, po odpočtu hmotnosti kostek ponechaných</t>
  </si>
  <si>
    <t>Rozebrání dlažeb komunikací, z drobných kostek  do lože z kameniva, v ploše přes 50m2, s naložením, včetně lože</t>
  </si>
  <si>
    <t>Příplatek k ceně vodorovné dopravy hmot za další i započatý km</t>
  </si>
  <si>
    <t>18,517*(20-1)</t>
  </si>
  <si>
    <t xml:space="preserve">plocha v rozsahu rozebírané dlažby </t>
  </si>
  <si>
    <t>104,20*0,35</t>
  </si>
  <si>
    <t>odečte se objem rozebrané dlažby a lože</t>
  </si>
  <si>
    <t>-93,74*(0,10+0,07)</t>
  </si>
  <si>
    <t>odečte se objem vybouraných tvarovacích obrub s ložem</t>
  </si>
  <si>
    <t>-(8,90+8,70+9,70+8,40+7,70+7,90)*0,20*0,35</t>
  </si>
  <si>
    <t>na úroveň -0,350</t>
  </si>
  <si>
    <t>odečte se objem zasahujícího stávajícího pasu</t>
  </si>
  <si>
    <t>-3,14*0,30*0,30*(0,35-0,30)</t>
  </si>
  <si>
    <t>odečte se objem  zasahující části žlabu</t>
  </si>
  <si>
    <t xml:space="preserve">na úroveň -0,650 (i nad úrovní -1,10 ) od -0,350 </t>
  </si>
  <si>
    <t>((3,07+1,10)*0,5*4,98+1,10*0,40*0,5)*(0,65-0,35)</t>
  </si>
  <si>
    <t>-10,20*0,10*0,10</t>
  </si>
  <si>
    <t>((5,27+5,48)*0,5*0,50+(3,07+3,27)*0,5*0,50)*(0,65-0,35)</t>
  </si>
  <si>
    <t>0,40*0,20*(0,65-0,35)</t>
  </si>
  <si>
    <t>odečte se objem  zasahující části piloty od -0,30 k -0,35</t>
  </si>
  <si>
    <t>odečte se objem  zasahující části piloty od -0,35 k -0,65</t>
  </si>
  <si>
    <t>-3,14*0,30*0,30*(0,65-0,35)</t>
  </si>
  <si>
    <t>-(3,85*0,65+0,945*0,30)*(0,35-0,20)</t>
  </si>
  <si>
    <t>Hloubení nezapažených jam , s urovnáním dna do předepsaného spádu v horninách  tř.1-2, do 100m3</t>
  </si>
  <si>
    <t>Hloubení  zapažených i nezapažených rýh, s urovnáním dna do předepsaného spádu v horninách  tř.1-2, šířky do 600mm, do 100m3</t>
  </si>
  <si>
    <t>úroveň -1,00  od -0,65</t>
  </si>
  <si>
    <t>((5,27+5,48)*0,5*0,50+(3,07+3,27)*0,5*0,50)*(1,00-0,65)</t>
  </si>
  <si>
    <t>Hloubení  zapažených i nezapažených rýh, s urovnáním dna do předepsaného spádu v horninách  tř.1-2, šířky do 2000mm, do 100m3</t>
  </si>
  <si>
    <t>úroveň -0,850 od -0,35</t>
  </si>
  <si>
    <t>3,55*0,855*(0,85-0,35)</t>
  </si>
  <si>
    <t>úroveň -1,20 od  -0,65</t>
  </si>
  <si>
    <t>(0,85*1,00-3,14*0,30*0,30*0,25)*(1,20-0,65)</t>
  </si>
  <si>
    <t>Očištění vybouraných dlažebních kostek od spojovacího materiálu, s uložením očištěných kostek na skládku, s odklizením odpadových hmot na hromady, kostek malých, s původním vyplněním spar cementovou maltou</t>
  </si>
  <si>
    <t>Poplatek za uložení stavebního odpadu na skládce betonového</t>
  </si>
  <si>
    <t>Poplatek za uložení stavebního odpadu na skládce z kameniva</t>
  </si>
  <si>
    <t>úroveň -1,20  k -0,65</t>
  </si>
  <si>
    <t>výměra dle pol.10</t>
  </si>
  <si>
    <t>výměra dle pol.11</t>
  </si>
  <si>
    <t>výměra dle pol.12</t>
  </si>
  <si>
    <t>výměra dle pol.13</t>
  </si>
  <si>
    <t>z mikropilot: 6,00*3,14*0,0445*0,0445</t>
  </si>
  <si>
    <t>za dalších 9km</t>
  </si>
  <si>
    <t>23,87*9</t>
  </si>
  <si>
    <t>23,87*2,00</t>
  </si>
  <si>
    <t>Maloprofilové vrty jádrové průměru přes 90 do 100 mm ve stavebních konstrukcích</t>
  </si>
  <si>
    <t>pro průchod chráničky stávajícími konstrukcemi</t>
  </si>
  <si>
    <t>0,40+0,20</t>
  </si>
  <si>
    <t>Chránička pro kabely ocelová závitová trubka vnější průměr 60,2mm, dodávka, montáž, 1x utěsnění kompaktní gumové a 1x požární ucpávka, délka chráničky cca 3,00m, dodávka a osazení</t>
  </si>
  <si>
    <t>kpl</t>
  </si>
  <si>
    <t>90000R001</t>
  </si>
  <si>
    <t>1kpl</t>
  </si>
  <si>
    <t>z maloprofilového vrtu</t>
  </si>
  <si>
    <t>odstraněná tepelná izolace</t>
  </si>
  <si>
    <t xml:space="preserve">demontovaná fasáda  </t>
  </si>
  <si>
    <t>0,60*0,031</t>
  </si>
  <si>
    <t>5,62*0,060</t>
  </si>
  <si>
    <t>(0,90+1,70*5+0,20)*2,70*0,033</t>
  </si>
  <si>
    <t>1,211*19</t>
  </si>
  <si>
    <t>Poplatek za uložení stavebního odpadu na skládce plast</t>
  </si>
  <si>
    <t>Základové pasy z betonu prostého, neprokládaného, tř. C 25/30</t>
  </si>
  <si>
    <t>((5,27+5,48)*0,5*0,50*0,50</t>
  </si>
  <si>
    <t>(3,07+3,27)*0,5*0,50*0,50</t>
  </si>
  <si>
    <t>Základové desky z betonu železového, tř. C 25/30</t>
  </si>
  <si>
    <t>((3,92+1,80)*0,5*5,271+1,673*0,68*0,5+3,55*0,903+0,485*0,17*0,5)*0,25</t>
  </si>
  <si>
    <t>Výztuž základových desek ze svařovaných sítí KARI</t>
  </si>
  <si>
    <t>Výztuž základových desek z betonářské oceli zn.10505R</t>
  </si>
  <si>
    <t>podle tabulky výkresu statiky: 52,4kg</t>
  </si>
  <si>
    <t>podle tabulky výkresu statiky: 343,6</t>
  </si>
  <si>
    <t>Dodatečně vlepování betonářské výztuže včetně vyvrtání a vyčištění otvoru, chemickou maltou, průměr výztuže 10mm</t>
  </si>
  <si>
    <t>0,20*66</t>
  </si>
  <si>
    <t>-3,14*0,30*0,30*0,25</t>
  </si>
  <si>
    <t>(4,98+3,07)*0,15</t>
  </si>
  <si>
    <t>(3,92+2,271+0,485)*0,10</t>
  </si>
  <si>
    <t>Podsyp pod základy z kameniva hrubého, frakce 16-32mm</t>
  </si>
  <si>
    <t>3,55*0,855*0,30</t>
  </si>
  <si>
    <t>((3,07+1,10)*0,5*4,98+1,10*0,40*0,5-3,14*0,30*0,30)*0,10</t>
  </si>
  <si>
    <t>2agr.01</t>
  </si>
  <si>
    <t>Ttrubková mikropilota, TR89/10mm, délka 6,00m, délka kořene 3,00m, vrtatelnost zeminy 1, kompletní provedení mikropiloty vč. Vrtu</t>
  </si>
  <si>
    <t>2 kusy 6m délky</t>
  </si>
  <si>
    <t>99 PŘESUN HMOT HSV</t>
  </si>
  <si>
    <t>99803R001</t>
  </si>
  <si>
    <t>z odd.2,5,6 a pol.1-11</t>
  </si>
  <si>
    <t>Přesun hmot HSV v obj. výšky do 6m, % sazbou</t>
  </si>
  <si>
    <t>POVLAKOVÉ KRYTINY</t>
  </si>
  <si>
    <t>712agr 01</t>
  </si>
  <si>
    <t>1) ztratné, prořez, přesahy jsou zahrnuty do jednot. ceny</t>
  </si>
  <si>
    <t>2) v jednotkových ceně jsou započteny i náklady na opracování detailů spar, rohů, koutů a prostupů</t>
  </si>
  <si>
    <t>4) jednotkové cena platí i pro plochy menší než 10m2</t>
  </si>
  <si>
    <t>5)měrnou jednotkou je výměra plocha izolované kce</t>
  </si>
  <si>
    <t>3) v ceně jsou zahrnuty všechny potřebné systémové doplňky - foliové plechy, kotevení, zesilující tvarovky atd. v ploše</t>
  </si>
  <si>
    <t>712agr 02</t>
  </si>
  <si>
    <t>Povlaková krytina střech plochých do 10° z folie z  PVC - P  vyztužené polyesterovou mřížkou, odolávající UV záření a přímým povětrnostním vlivům  dodávka a montáž vč.opracování detailů systém.doplňky v ploše, vytažení folie na svislé plochy</t>
  </si>
  <si>
    <t xml:space="preserve">Provedení povlakové krytiny střech plochých do 10° - ostatní práce, provedení vrstvy textilní podkladní </t>
  </si>
  <si>
    <t>Provedení povlakové krytiny střech plochých do 10° - ostatní práce, provedení vrstvy textilní ochranné</t>
  </si>
  <si>
    <t>(3,79+0,22)*0,5*8,91+0,189*0,20*0,5</t>
  </si>
  <si>
    <t>podél  K5</t>
  </si>
  <si>
    <t>13,00*0,26</t>
  </si>
  <si>
    <t xml:space="preserve">ve žlabu </t>
  </si>
  <si>
    <t>výměra dle pol.1, odpočet žlab</t>
  </si>
  <si>
    <t>17,88-10,00*0,20</t>
  </si>
  <si>
    <t>Provedení povlakové krytiny střech plochých do 10° - ostatní práce, provedení vrstvy textilní podkladní , vyvedením na svislé plochy</t>
  </si>
  <si>
    <t>strana žlabu bez plechu</t>
  </si>
  <si>
    <t>10,00*0,12</t>
  </si>
  <si>
    <t>10,00*(0,10+0,115)+0,20*0,10*2</t>
  </si>
  <si>
    <t>k pol.3,4,5</t>
  </si>
  <si>
    <t>(17,88+15,88+1,20)*1,05 (+5%NSM)</t>
  </si>
  <si>
    <t>71236R001</t>
  </si>
  <si>
    <t>ozn.K4: 10,00m</t>
  </si>
  <si>
    <t>ozn.K5: 13,00m</t>
  </si>
  <si>
    <t>ozn.K7: 0,20m</t>
  </si>
  <si>
    <t>Povlakové krytiny z foliových plechů  r.š.100mm - pásek</t>
  </si>
  <si>
    <t>Povlakové krytiny z foliových plechů  r.š.360mm - závětrné oplechování</t>
  </si>
  <si>
    <t>Povlakové krytiny z foliových plechů  r.š.165mm - oplechování boku žlabu</t>
  </si>
  <si>
    <t>71236R002</t>
  </si>
  <si>
    <t>71236R003</t>
  </si>
  <si>
    <t>71236R004</t>
  </si>
  <si>
    <t>Povlakové krytiny z foliových plechů  r.š.165mm -ukončení žlabu 200/350/100mm</t>
  </si>
  <si>
    <t>Přesun hmot oboru 712 v objektech výšky  do 6m</t>
  </si>
  <si>
    <t>Povlaková krytina střech plochých do 10° z folie z  PVC - P  vyztužené polyesterovou mřížkou, odolávající UV záření a přímým povětrnostním vlivům,  dodávka a montáž vč.opracování detailů systém.doplňky v ploše</t>
  </si>
  <si>
    <t xml:space="preserve"> VEDLEJŠÍ  A OSTATNÍ NÁKLADY</t>
  </si>
  <si>
    <t>VRN</t>
  </si>
  <si>
    <t>KONSTRUKCE ZÁMEČNICKÉ</t>
  </si>
  <si>
    <t>767agr.01</t>
  </si>
  <si>
    <t>767 agr.02</t>
  </si>
  <si>
    <t>3985/2950mm AL systémová fasáda s dvoukřídlovými dveřmi, hliníkové profily fixované do ocelové kce, zasklení izolačním dvojsklem Uw=1,2W/M2k, vnitřní i vnější skla bezpečnostní, včetně částí z plných panelů, dodávka a montáž kompletní konstrukce</t>
  </si>
  <si>
    <t>4560-3755/2000mm podhled alucobond, s rastováním, včetně povrchové úpravy , dodávka a montáž kompletní konstrukce</t>
  </si>
  <si>
    <t>767agr.03</t>
  </si>
  <si>
    <t>8990/2970mm AL systémová fasáda s jednokřídlovým oknemi, hliníkové profily fixované do ocelové kce, zasklení izolačním dvojsklem Uw=1,2W/M2k, vnitřní i vnější skla bezpečnostní, včetně částí z plných panelů, dodávka a montáž kompletní konstrukce</t>
  </si>
  <si>
    <t>767agr.04</t>
  </si>
  <si>
    <t>9400/100mm podhled z jemného tahokovu, v pruhu šířky 100mm, včetně povrchové úpravy, dodávka a montáž kompletní konstrukce</t>
  </si>
  <si>
    <t>840/260/20mm police z pecičkového hliníkového plechu tl.5mm (0,22m2) s boky z hladkého plechu 225/15mm (2x) s upevňovacími imbusovými šrouby M6 (4X), dodávka a montáž</t>
  </si>
  <si>
    <t>767agr.05</t>
  </si>
  <si>
    <t>767agr.06</t>
  </si>
  <si>
    <t>ozn.K1 : 2,55*5</t>
  </si>
  <si>
    <t>767agr.07</t>
  </si>
  <si>
    <t>Uzavírací plech pro sloupky fasády, rozměr 30+50+30mm, přírodní hliník,  dodávka a montáž</t>
  </si>
  <si>
    <t>767agr.08</t>
  </si>
  <si>
    <t>Dvojdílné ukončení u fasády  rozmě 20+70mm 30+40mm, hliníkový plech černé barvy,  dodávka a montáž</t>
  </si>
  <si>
    <t>ozn.K3 : 13,00</t>
  </si>
  <si>
    <t>Krycí plech tepelné izolace, rozměr 20+105+240+30mm, hliníkový plech černé barvy,  dodávka a montáž</t>
  </si>
  <si>
    <t>ozn.K2 : 1,75*5+1,00*1</t>
  </si>
  <si>
    <t>767agr.09</t>
  </si>
  <si>
    <t>Nosný plech pod fasádou, tl.1,5mm, rozměr 20+235+20mm, pozinkovaný plech, dodávka a montáž</t>
  </si>
  <si>
    <t>ozn.K8 : 0,95*10+0,75+1,70+0,35*3</t>
  </si>
  <si>
    <t>Přesun hmot oboru 767, v objektech výšky do 6m, % sazbou</t>
  </si>
  <si>
    <t>766 agr.10</t>
  </si>
  <si>
    <t xml:space="preserve">Demontáž stávajících hliníkových fasádních dveří včetně rámů vsazených do sloupkové fasády (1x 800/2700mm a 5x 1650/2700mm, zkrácení přítlačních lišt  (5x), zkrácení rohového plného panelu 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</si>
</sst>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"/>
    <numFmt numFmtId="166" formatCode="0.00000"/>
    <numFmt numFmtId="167" formatCode="0.00_)"/>
  </numFmts>
  <fonts count="34">
    <font>
      <sz val="10"/>
      <name val="Arial"/>
      <family val="2"/>
      <charset val="238"/>
    </font>
    <font>
      <sz val="8"/>
      <name val="Trebuchet MS"/>
      <family val="2"/>
      <charset val="238"/>
    </font>
    <font>
      <sz val="10"/>
      <name val="Arial CE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Trebuchet MS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i/>
      <sz val="9"/>
      <color indexed="16"/>
      <name val="Arial"/>
      <family val="2"/>
      <charset val="238"/>
    </font>
    <font>
      <b/>
      <sz val="9"/>
      <color indexed="12"/>
      <name val="Arial"/>
      <family val="2"/>
      <charset val="238"/>
    </font>
    <font>
      <sz val="9"/>
      <color indexed="21"/>
      <name val="Arial"/>
      <family val="2"/>
      <charset val="238"/>
    </font>
    <font>
      <sz val="9"/>
      <color indexed="17"/>
      <name val="Arial CE"/>
      <family val="2"/>
      <charset val="238"/>
    </font>
    <font>
      <b/>
      <sz val="9"/>
      <color indexed="12"/>
      <name val="Arial CE"/>
      <family val="2"/>
      <charset val="238"/>
    </font>
    <font>
      <sz val="9"/>
      <color indexed="21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color rgb="FF006600"/>
      <name val="Arial"/>
      <family val="2"/>
      <charset val="238"/>
    </font>
    <font>
      <sz val="9"/>
      <color rgb="FF006600"/>
      <name val="Arial CE"/>
      <family val="2"/>
      <charset val="238"/>
    </font>
    <font>
      <sz val="9"/>
      <name val="Arial CE"/>
      <charset val="238"/>
    </font>
    <font>
      <u/>
      <sz val="9"/>
      <color rgb="FF006600"/>
      <name val="Arial"/>
      <family val="2"/>
      <charset val="238"/>
    </font>
    <font>
      <sz val="9"/>
      <color indexed="8"/>
      <name val="Arial CE"/>
      <family val="2"/>
      <charset val="238"/>
    </font>
    <font>
      <u/>
      <sz val="9"/>
      <color rgb="FF006600"/>
      <name val="Arial CE"/>
      <family val="2"/>
      <charset val="238"/>
    </font>
    <font>
      <b/>
      <sz val="9"/>
      <name val="Arial CE"/>
      <charset val="238"/>
    </font>
    <font>
      <b/>
      <sz val="9"/>
      <color rgb="FF006600"/>
      <name val="Arial"/>
      <family val="2"/>
      <charset val="238"/>
    </font>
    <font>
      <sz val="9"/>
      <color rgb="FF000000"/>
      <name val="Arial CE"/>
      <family val="2"/>
      <charset val="238"/>
    </font>
    <font>
      <b/>
      <sz val="9"/>
      <color rgb="FF0000CC"/>
      <name val="Arial"/>
      <family val="2"/>
      <charset val="238"/>
    </font>
    <font>
      <sz val="9"/>
      <color indexed="17"/>
      <name val="Arial"/>
      <family val="2"/>
      <charset val="238"/>
    </font>
    <font>
      <sz val="9"/>
      <color rgb="FF006600"/>
      <name val="Arial CE"/>
      <charset val="238"/>
    </font>
    <font>
      <sz val="9"/>
      <color indexed="12"/>
      <name val="Arial CE"/>
      <family val="2"/>
      <charset val="238"/>
    </font>
    <font>
      <sz val="9"/>
      <color indexed="12"/>
      <name val="Arial"/>
      <family val="2"/>
      <charset val="238"/>
    </font>
    <font>
      <i/>
      <sz val="9"/>
      <color rgb="FF0066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6" fillId="0" borderId="0"/>
    <xf numFmtId="0" fontId="15" fillId="0" borderId="0"/>
    <xf numFmtId="0" fontId="1" fillId="0" borderId="0" applyAlignment="0">
      <protection locked="0"/>
    </xf>
    <xf numFmtId="0" fontId="2" fillId="0" borderId="0"/>
  </cellStyleXfs>
  <cellXfs count="475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Fill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 applyFill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/>
    </xf>
    <xf numFmtId="3" fontId="3" fillId="2" borderId="2" xfId="0" applyNumberFormat="1" applyFont="1" applyFill="1" applyBorder="1" applyAlignment="1">
      <alignment vertical="top"/>
    </xf>
    <xf numFmtId="3" fontId="3" fillId="2" borderId="3" xfId="0" applyNumberFormat="1" applyFont="1" applyFill="1" applyBorder="1" applyAlignment="1" applyProtection="1">
      <alignment vertical="top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/>
    </xf>
    <xf numFmtId="0" fontId="3" fillId="2" borderId="5" xfId="0" applyFont="1" applyFill="1" applyBorder="1" applyAlignment="1" applyProtection="1">
      <alignment horizontal="right" vertical="top"/>
    </xf>
    <xf numFmtId="2" fontId="3" fillId="2" borderId="5" xfId="0" applyNumberFormat="1" applyFont="1" applyFill="1" applyBorder="1" applyAlignment="1" applyProtection="1">
      <alignment horizontal="right" vertical="top"/>
    </xf>
    <xf numFmtId="3" fontId="3" fillId="2" borderId="5" xfId="0" applyNumberFormat="1" applyFont="1" applyFill="1" applyBorder="1" applyAlignment="1" applyProtection="1">
      <alignment horizontal="right" vertical="top"/>
    </xf>
    <xf numFmtId="3" fontId="3" fillId="2" borderId="5" xfId="0" applyNumberFormat="1" applyFont="1" applyFill="1" applyBorder="1" applyAlignment="1" applyProtection="1">
      <alignment vertical="top"/>
    </xf>
    <xf numFmtId="3" fontId="3" fillId="2" borderId="6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right" vertical="top"/>
    </xf>
    <xf numFmtId="3" fontId="3" fillId="0" borderId="0" xfId="0" applyNumberFormat="1" applyFont="1" applyBorder="1" applyAlignment="1" applyProtection="1">
      <alignment vertical="top"/>
    </xf>
    <xf numFmtId="3" fontId="3" fillId="0" borderId="0" xfId="0" applyNumberFormat="1" applyFont="1" applyFill="1" applyBorder="1" applyAlignment="1" applyProtection="1">
      <alignment vertical="top"/>
    </xf>
    <xf numFmtId="2" fontId="3" fillId="0" borderId="0" xfId="0" applyNumberFormat="1" applyFont="1" applyBorder="1" applyAlignment="1" applyProtection="1">
      <alignment vertical="top" wrapText="1"/>
    </xf>
    <xf numFmtId="0" fontId="6" fillId="0" borderId="0" xfId="3" applyFont="1" applyBorder="1" applyAlignment="1" applyProtection="1">
      <alignment horizontal="left" vertical="top"/>
    </xf>
    <xf numFmtId="0" fontId="6" fillId="0" borderId="0" xfId="3" applyFont="1" applyFill="1" applyBorder="1" applyAlignment="1" applyProtection="1">
      <alignment horizontal="left" vertical="top"/>
    </xf>
    <xf numFmtId="3" fontId="6" fillId="0" borderId="0" xfId="3" applyNumberFormat="1" applyFont="1" applyBorder="1" applyAlignment="1" applyProtection="1">
      <alignment horizontal="left" vertical="top"/>
    </xf>
    <xf numFmtId="0" fontId="6" fillId="0" borderId="0" xfId="3" applyFont="1" applyBorder="1" applyAlignment="1" applyProtection="1">
      <alignment horizontal="left" vertical="top"/>
      <protection locked="0"/>
    </xf>
    <xf numFmtId="0" fontId="6" fillId="3" borderId="7" xfId="3" applyFont="1" applyFill="1" applyBorder="1" applyAlignment="1" applyProtection="1">
      <alignment horizontal="left" vertical="top"/>
      <protection locked="0"/>
    </xf>
    <xf numFmtId="3" fontId="7" fillId="0" borderId="7" xfId="3" applyNumberFormat="1" applyFont="1" applyFill="1" applyBorder="1" applyAlignment="1" applyProtection="1">
      <alignment horizontal="right" vertical="top"/>
    </xf>
    <xf numFmtId="3" fontId="7" fillId="0" borderId="0" xfId="3" applyNumberFormat="1" applyFont="1" applyBorder="1" applyAlignment="1" applyProtection="1">
      <alignment horizontal="right" vertical="top"/>
    </xf>
    <xf numFmtId="3" fontId="4" fillId="0" borderId="8" xfId="3" applyNumberFormat="1" applyFont="1" applyFill="1" applyBorder="1" applyAlignment="1" applyProtection="1">
      <alignment horizontal="right" vertical="top"/>
    </xf>
    <xf numFmtId="3" fontId="4" fillId="0" borderId="0" xfId="3" applyNumberFormat="1" applyFont="1" applyBorder="1" applyAlignment="1" applyProtection="1">
      <alignment horizontal="right" vertical="top"/>
    </xf>
    <xf numFmtId="0" fontId="6" fillId="2" borderId="2" xfId="3" applyFont="1" applyFill="1" applyBorder="1" applyAlignment="1" applyProtection="1">
      <alignment horizontal="left" vertical="top"/>
    </xf>
    <xf numFmtId="3" fontId="6" fillId="2" borderId="2" xfId="3" applyNumberFormat="1" applyFont="1" applyFill="1" applyBorder="1" applyAlignment="1" applyProtection="1">
      <alignment horizontal="left" vertical="top"/>
    </xf>
    <xf numFmtId="3" fontId="6" fillId="2" borderId="3" xfId="3" applyNumberFormat="1" applyFont="1" applyFill="1" applyBorder="1" applyAlignment="1" applyProtection="1">
      <alignment horizontal="left" vertical="top"/>
    </xf>
    <xf numFmtId="0" fontId="5" fillId="2" borderId="5" xfId="0" applyFont="1" applyFill="1" applyBorder="1" applyAlignment="1" applyProtection="1">
      <alignment vertical="top"/>
    </xf>
    <xf numFmtId="3" fontId="5" fillId="2" borderId="5" xfId="0" applyNumberFormat="1" applyFont="1" applyFill="1" applyBorder="1" applyAlignment="1" applyProtection="1">
      <alignment vertical="top"/>
    </xf>
    <xf numFmtId="3" fontId="5" fillId="2" borderId="6" xfId="0" applyNumberFormat="1" applyFont="1" applyFill="1" applyBorder="1" applyAlignment="1" applyProtection="1">
      <alignment vertical="top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/>
    </xf>
    <xf numFmtId="3" fontId="3" fillId="2" borderId="7" xfId="0" applyNumberFormat="1" applyFont="1" applyFill="1" applyBorder="1" applyAlignment="1" applyProtection="1">
      <alignment vertical="top"/>
    </xf>
    <xf numFmtId="3" fontId="3" fillId="2" borderId="7" xfId="0" applyNumberFormat="1" applyFont="1" applyFill="1" applyBorder="1" applyAlignment="1" applyProtection="1">
      <alignment horizontal="center" vertical="top"/>
    </xf>
    <xf numFmtId="3" fontId="6" fillId="0" borderId="0" xfId="3" applyNumberFormat="1" applyFont="1" applyFill="1" applyBorder="1" applyAlignment="1" applyProtection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 wrapText="1"/>
    </xf>
    <xf numFmtId="2" fontId="8" fillId="0" borderId="0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3" fontId="3" fillId="2" borderId="5" xfId="0" applyNumberFormat="1" applyFont="1" applyFill="1" applyBorder="1" applyAlignment="1">
      <alignment vertical="top"/>
    </xf>
    <xf numFmtId="0" fontId="3" fillId="2" borderId="6" xfId="0" applyFont="1" applyFill="1" applyBorder="1" applyAlignment="1" applyProtection="1">
      <alignment horizontal="right" vertical="top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 vertical="top" wrapText="1"/>
    </xf>
    <xf numFmtId="3" fontId="3" fillId="2" borderId="9" xfId="0" applyNumberFormat="1" applyFont="1" applyFill="1" applyBorder="1" applyAlignment="1" applyProtection="1">
      <alignment horizontal="center" vertical="top" wrapText="1"/>
    </xf>
    <xf numFmtId="3" fontId="3" fillId="2" borderId="6" xfId="0" applyNumberFormat="1" applyFont="1" applyFill="1" applyBorder="1" applyAlignment="1" applyProtection="1">
      <alignment horizontal="center" vertical="top" wrapText="1"/>
    </xf>
    <xf numFmtId="3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3" fontId="4" fillId="0" borderId="7" xfId="0" applyNumberFormat="1" applyFont="1" applyFill="1" applyBorder="1" applyAlignment="1" applyProtection="1">
      <alignment horizontal="right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/>
    </xf>
    <xf numFmtId="3" fontId="8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right" vertical="top" wrapText="1"/>
    </xf>
    <xf numFmtId="2" fontId="13" fillId="0" borderId="0" xfId="0" applyNumberFormat="1" applyFont="1" applyFill="1" applyBorder="1" applyAlignment="1">
      <alignment horizontal="right" vertical="top" wrapText="1"/>
    </xf>
    <xf numFmtId="3" fontId="13" fillId="0" borderId="0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/>
    </xf>
    <xf numFmtId="3" fontId="8" fillId="0" borderId="7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2" fontId="12" fillId="0" borderId="0" xfId="0" applyNumberFormat="1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left" vertical="top" wrapText="1"/>
    </xf>
    <xf numFmtId="2" fontId="14" fillId="0" borderId="0" xfId="0" applyNumberFormat="1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right" vertical="top" wrapText="1"/>
    </xf>
    <xf numFmtId="2" fontId="8" fillId="0" borderId="7" xfId="0" applyNumberFormat="1" applyFont="1" applyFill="1" applyBorder="1" applyAlignment="1">
      <alignment horizontal="right" vertical="top" wrapText="1"/>
    </xf>
    <xf numFmtId="164" fontId="8" fillId="0" borderId="7" xfId="0" applyNumberFormat="1" applyFont="1" applyFill="1" applyBorder="1" applyAlignment="1">
      <alignment horizontal="right" vertical="top" wrapText="1"/>
    </xf>
    <xf numFmtId="0" fontId="10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3" fontId="10" fillId="0" borderId="0" xfId="0" applyNumberFormat="1" applyFont="1" applyBorder="1" applyAlignment="1">
      <alignment vertical="top"/>
    </xf>
    <xf numFmtId="2" fontId="3" fillId="0" borderId="0" xfId="0" applyNumberFormat="1" applyFont="1" applyFill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right" vertical="top"/>
    </xf>
    <xf numFmtId="2" fontId="3" fillId="0" borderId="7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Border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2" fontId="3" fillId="0" borderId="0" xfId="0" applyNumberFormat="1" applyFont="1" applyBorder="1" applyAlignment="1" applyProtection="1">
      <alignment horizontal="right" vertical="top"/>
    </xf>
    <xf numFmtId="2" fontId="3" fillId="0" borderId="0" xfId="0" applyNumberFormat="1" applyFont="1" applyBorder="1" applyAlignment="1" applyProtection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0" fontId="4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right" vertical="top" wrapText="1"/>
    </xf>
    <xf numFmtId="2" fontId="8" fillId="0" borderId="13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 applyProtection="1">
      <alignment vertical="top" wrapText="1"/>
    </xf>
    <xf numFmtId="2" fontId="18" fillId="0" borderId="0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right" vertical="top" wrapText="1"/>
    </xf>
    <xf numFmtId="2" fontId="20" fillId="0" borderId="0" xfId="0" applyNumberFormat="1" applyFont="1" applyFill="1" applyBorder="1" applyAlignment="1">
      <alignment horizontal="right" vertical="top" wrapText="1"/>
    </xf>
    <xf numFmtId="2" fontId="3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164" fontId="20" fillId="0" borderId="0" xfId="0" applyNumberFormat="1" applyFont="1" applyFill="1" applyBorder="1" applyAlignment="1">
      <alignment horizontal="right" vertical="top" wrapText="1"/>
    </xf>
    <xf numFmtId="2" fontId="3" fillId="2" borderId="2" xfId="0" applyNumberFormat="1" applyFont="1" applyFill="1" applyBorder="1" applyAlignment="1">
      <alignment vertical="top"/>
    </xf>
    <xf numFmtId="2" fontId="6" fillId="0" borderId="0" xfId="3" applyNumberFormat="1" applyFont="1" applyBorder="1" applyAlignment="1" applyProtection="1">
      <alignment horizontal="left" vertical="top"/>
    </xf>
    <xf numFmtId="2" fontId="6" fillId="0" borderId="0" xfId="3" applyNumberFormat="1" applyFont="1" applyFill="1" applyBorder="1" applyAlignment="1" applyProtection="1">
      <alignment horizontal="left" vertical="top"/>
    </xf>
    <xf numFmtId="2" fontId="6" fillId="0" borderId="0" xfId="3" applyNumberFormat="1" applyFont="1" applyFill="1" applyBorder="1" applyAlignment="1" applyProtection="1">
      <alignment horizontal="left" vertical="top"/>
      <protection locked="0"/>
    </xf>
    <xf numFmtId="2" fontId="6" fillId="2" borderId="2" xfId="3" applyNumberFormat="1" applyFont="1" applyFill="1" applyBorder="1" applyAlignment="1" applyProtection="1">
      <alignment horizontal="left" vertical="top"/>
    </xf>
    <xf numFmtId="2" fontId="5" fillId="2" borderId="5" xfId="0" applyNumberFormat="1" applyFont="1" applyFill="1" applyBorder="1" applyAlignment="1" applyProtection="1">
      <alignment vertical="top"/>
    </xf>
    <xf numFmtId="2" fontId="3" fillId="2" borderId="7" xfId="0" applyNumberFormat="1" applyFont="1" applyFill="1" applyBorder="1" applyAlignment="1" applyProtection="1">
      <alignment vertical="top"/>
    </xf>
    <xf numFmtId="2" fontId="4" fillId="0" borderId="0" xfId="0" applyNumberFormat="1" applyFont="1" applyFill="1" applyBorder="1" applyAlignment="1" applyProtection="1">
      <alignment horizontal="center" vertical="top" wrapText="1"/>
      <protection locked="0"/>
    </xf>
    <xf numFmtId="2" fontId="8" fillId="3" borderId="7" xfId="0" applyNumberFormat="1" applyFont="1" applyFill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right" vertical="top"/>
    </xf>
    <xf numFmtId="2" fontId="3" fillId="3" borderId="7" xfId="0" applyNumberFormat="1" applyFont="1" applyFill="1" applyBorder="1" applyAlignment="1">
      <alignment horizontal="right" vertical="top"/>
    </xf>
    <xf numFmtId="2" fontId="4" fillId="0" borderId="0" xfId="0" applyNumberFormat="1" applyFont="1" applyFill="1" applyBorder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4" fillId="0" borderId="11" xfId="0" applyFont="1" applyFill="1" applyBorder="1" applyAlignment="1">
      <alignment horizontal="left" vertical="top"/>
    </xf>
    <xf numFmtId="2" fontId="21" fillId="4" borderId="13" xfId="0" applyNumberFormat="1" applyFont="1" applyFill="1" applyBorder="1" applyAlignment="1">
      <alignment horizontal="right" vertical="top" wrapText="1"/>
    </xf>
    <xf numFmtId="0" fontId="19" fillId="0" borderId="0" xfId="0" applyFont="1" applyBorder="1" applyAlignment="1">
      <alignment horizontal="left" vertical="top"/>
    </xf>
    <xf numFmtId="2" fontId="19" fillId="0" borderId="0" xfId="0" applyNumberFormat="1" applyFont="1" applyBorder="1" applyAlignment="1">
      <alignment vertical="top" wrapText="1"/>
    </xf>
    <xf numFmtId="2" fontId="19" fillId="0" borderId="0" xfId="0" applyNumberFormat="1" applyFont="1" applyBorder="1" applyAlignment="1">
      <alignment horizontal="right" vertical="top"/>
    </xf>
    <xf numFmtId="0" fontId="19" fillId="0" borderId="0" xfId="0" applyFont="1" applyBorder="1" applyAlignment="1">
      <alignment horizontal="right" vertical="top"/>
    </xf>
    <xf numFmtId="2" fontId="19" fillId="0" borderId="0" xfId="0" applyNumberFormat="1" applyFont="1" applyFill="1" applyAlignment="1">
      <alignment vertical="top"/>
    </xf>
    <xf numFmtId="0" fontId="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right" vertical="top" wrapText="1"/>
    </xf>
    <xf numFmtId="2" fontId="4" fillId="4" borderId="13" xfId="0" applyNumberFormat="1" applyFont="1" applyFill="1" applyBorder="1" applyAlignment="1">
      <alignment horizontal="right" vertical="top"/>
    </xf>
    <xf numFmtId="2" fontId="19" fillId="0" borderId="0" xfId="0" applyNumberFormat="1" applyFont="1" applyFill="1" applyBorder="1" applyAlignment="1">
      <alignment vertical="top"/>
    </xf>
    <xf numFmtId="0" fontId="19" fillId="0" borderId="12" xfId="0" applyFont="1" applyBorder="1" applyAlignment="1">
      <alignment horizontal="right" vertical="top"/>
    </xf>
    <xf numFmtId="2" fontId="19" fillId="0" borderId="12" xfId="0" applyNumberFormat="1" applyFont="1" applyFill="1" applyBorder="1" applyAlignment="1">
      <alignment vertical="top"/>
    </xf>
    <xf numFmtId="0" fontId="19" fillId="0" borderId="0" xfId="0" applyFont="1" applyFill="1" applyBorder="1" applyAlignment="1" applyProtection="1">
      <alignment horizontal="left" vertical="top" wrapText="1"/>
      <protection locked="0"/>
    </xf>
    <xf numFmtId="0" fontId="23" fillId="0" borderId="7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right" vertical="top" wrapText="1"/>
    </xf>
    <xf numFmtId="2" fontId="23" fillId="0" borderId="7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left" vertical="top" wrapText="1"/>
    </xf>
    <xf numFmtId="2" fontId="19" fillId="0" borderId="0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4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right" vertical="top"/>
    </xf>
    <xf numFmtId="2" fontId="4" fillId="0" borderId="13" xfId="0" applyNumberFormat="1" applyFont="1" applyBorder="1" applyAlignment="1">
      <alignment horizontal="right" vertical="top"/>
    </xf>
    <xf numFmtId="0" fontId="20" fillId="0" borderId="12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166" fontId="4" fillId="0" borderId="0" xfId="0" applyNumberFormat="1" applyFont="1" applyFill="1" applyBorder="1" applyAlignment="1" applyProtection="1">
      <alignment horizontal="center" vertical="top" wrapText="1"/>
      <protection locked="0"/>
    </xf>
    <xf numFmtId="166" fontId="3" fillId="0" borderId="0" xfId="0" applyNumberFormat="1" applyFont="1" applyAlignment="1">
      <alignment vertical="top"/>
    </xf>
    <xf numFmtId="166" fontId="4" fillId="0" borderId="0" xfId="0" applyNumberFormat="1" applyFont="1" applyAlignment="1">
      <alignment vertical="top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2" fontId="20" fillId="0" borderId="12" xfId="0" applyNumberFormat="1" applyFont="1" applyFill="1" applyBorder="1" applyAlignment="1">
      <alignment horizontal="right" vertical="top" wrapText="1"/>
    </xf>
    <xf numFmtId="164" fontId="20" fillId="0" borderId="0" xfId="0" applyNumberFormat="1" applyFont="1" applyFill="1" applyBorder="1" applyAlignment="1">
      <alignment vertical="top" wrapText="1"/>
    </xf>
    <xf numFmtId="3" fontId="4" fillId="0" borderId="13" xfId="0" applyNumberFormat="1" applyFont="1" applyBorder="1" applyAlignment="1">
      <alignment horizontal="right" vertical="top"/>
    </xf>
    <xf numFmtId="0" fontId="4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/>
    </xf>
    <xf numFmtId="0" fontId="4" fillId="0" borderId="0" xfId="3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right" vertical="top"/>
    </xf>
    <xf numFmtId="0" fontId="4" fillId="0" borderId="0" xfId="0" applyFont="1" applyFill="1" applyBorder="1" applyAlignment="1" applyProtection="1">
      <alignment horizontal="right" vertical="top"/>
    </xf>
    <xf numFmtId="0" fontId="10" fillId="0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vertical="top"/>
    </xf>
    <xf numFmtId="0" fontId="4" fillId="0" borderId="0" xfId="0" applyFont="1" applyFill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 wrapText="1"/>
    </xf>
    <xf numFmtId="2" fontId="4" fillId="0" borderId="13" xfId="0" applyNumberFormat="1" applyFont="1" applyFill="1" applyBorder="1" applyAlignment="1">
      <alignment vertical="top"/>
    </xf>
    <xf numFmtId="0" fontId="4" fillId="5" borderId="2" xfId="3" applyFont="1" applyFill="1" applyBorder="1" applyAlignment="1" applyProtection="1">
      <alignment horizontal="left" vertical="top"/>
    </xf>
    <xf numFmtId="0" fontId="4" fillId="5" borderId="5" xfId="3" applyFont="1" applyFill="1" applyBorder="1" applyAlignment="1" applyProtection="1">
      <alignment horizontal="left" vertical="top"/>
    </xf>
    <xf numFmtId="0" fontId="4" fillId="5" borderId="7" xfId="3" applyFont="1" applyFill="1" applyBorder="1" applyAlignment="1" applyProtection="1">
      <alignment horizontal="left" vertical="top"/>
    </xf>
    <xf numFmtId="0" fontId="3" fillId="5" borderId="2" xfId="0" applyFont="1" applyFill="1" applyBorder="1" applyAlignment="1">
      <alignment horizontal="left" vertical="top"/>
    </xf>
    <xf numFmtId="0" fontId="3" fillId="5" borderId="5" xfId="0" applyFont="1" applyFill="1" applyBorder="1" applyAlignment="1" applyProtection="1">
      <alignment vertical="top"/>
    </xf>
    <xf numFmtId="0" fontId="3" fillId="5" borderId="6" xfId="0" applyFont="1" applyFill="1" applyBorder="1" applyAlignment="1" applyProtection="1">
      <alignment horizontal="center" vertical="top" wrapText="1"/>
    </xf>
    <xf numFmtId="0" fontId="3" fillId="5" borderId="5" xfId="0" applyFont="1" applyFill="1" applyBorder="1" applyAlignment="1" applyProtection="1">
      <alignment horizontal="left" vertical="top"/>
    </xf>
    <xf numFmtId="0" fontId="3" fillId="0" borderId="13" xfId="0" applyFont="1" applyBorder="1" applyAlignment="1">
      <alignment vertical="top" wrapText="1"/>
    </xf>
    <xf numFmtId="2" fontId="3" fillId="0" borderId="13" xfId="0" applyNumberFormat="1" applyFont="1" applyFill="1" applyBorder="1" applyAlignment="1">
      <alignment vertical="top"/>
    </xf>
    <xf numFmtId="0" fontId="10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20" fillId="0" borderId="0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4" fillId="0" borderId="7" xfId="0" applyFont="1" applyFill="1" applyBorder="1" applyAlignment="1" applyProtection="1">
      <alignment horizontal="right" vertical="top" wrapText="1"/>
      <protection locked="0"/>
    </xf>
    <xf numFmtId="2" fontId="4" fillId="0" borderId="7" xfId="0" applyNumberFormat="1" applyFont="1" applyFill="1" applyBorder="1" applyAlignment="1" applyProtection="1">
      <alignment horizontal="right" vertical="top" wrapText="1"/>
      <protection locked="0"/>
    </xf>
    <xf numFmtId="3" fontId="4" fillId="0" borderId="7" xfId="0" applyNumberFormat="1" applyFont="1" applyFill="1" applyBorder="1" applyAlignment="1" applyProtection="1">
      <alignment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0" fontId="25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vertical="top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2" fontId="4" fillId="0" borderId="13" xfId="0" applyNumberFormat="1" applyFont="1" applyBorder="1" applyAlignment="1">
      <alignment vertical="top" wrapText="1"/>
    </xf>
    <xf numFmtId="0" fontId="4" fillId="0" borderId="13" xfId="0" applyFont="1" applyFill="1" applyBorder="1" applyAlignment="1" applyProtection="1">
      <alignment horizontal="left" vertical="top" wrapText="1"/>
      <protection locked="0"/>
    </xf>
    <xf numFmtId="2" fontId="4" fillId="0" borderId="13" xfId="0" applyNumberFormat="1" applyFont="1" applyFill="1" applyBorder="1" applyAlignment="1" applyProtection="1">
      <alignment horizontal="right" vertical="top" wrapText="1"/>
      <protection locked="0"/>
    </xf>
    <xf numFmtId="2" fontId="4" fillId="3" borderId="13" xfId="0" applyNumberFormat="1" applyFont="1" applyFill="1" applyBorder="1" applyAlignment="1" applyProtection="1">
      <alignment horizontal="right" vertical="top" wrapText="1"/>
      <protection locked="0"/>
    </xf>
    <xf numFmtId="3" fontId="4" fillId="0" borderId="13" xfId="0" applyNumberFormat="1" applyFont="1" applyFill="1" applyBorder="1" applyAlignment="1" applyProtection="1">
      <alignment horizontal="right" vertical="top" wrapText="1"/>
      <protection locked="0"/>
    </xf>
    <xf numFmtId="3" fontId="4" fillId="0" borderId="0" xfId="0" applyNumberFormat="1" applyFont="1" applyFill="1" applyBorder="1" applyAlignment="1" applyProtection="1">
      <alignment vertical="top" wrapText="1"/>
      <protection locked="0"/>
    </xf>
    <xf numFmtId="2" fontId="3" fillId="3" borderId="13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3" fontId="4" fillId="0" borderId="0" xfId="0" applyNumberFormat="1" applyFont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2" fontId="19" fillId="0" borderId="0" xfId="0" applyNumberFormat="1" applyFont="1" applyFill="1" applyBorder="1" applyAlignment="1" applyProtection="1">
      <alignment horizontal="right" vertical="top" wrapText="1"/>
      <protection locked="0"/>
    </xf>
    <xf numFmtId="0" fontId="19" fillId="0" borderId="12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13" xfId="0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quotePrefix="1" applyFont="1" applyFill="1" applyBorder="1" applyAlignment="1" applyProtection="1">
      <alignment horizontal="left" vertical="top" wrapText="1"/>
      <protection locked="0"/>
    </xf>
    <xf numFmtId="0" fontId="4" fillId="0" borderId="13" xfId="0" applyFont="1" applyFill="1" applyBorder="1" applyAlignment="1" applyProtection="1">
      <alignment horizontal="right" wrapText="1"/>
      <protection locked="0"/>
    </xf>
    <xf numFmtId="164" fontId="23" fillId="0" borderId="7" xfId="0" applyNumberFormat="1" applyFont="1" applyFill="1" applyBorder="1" applyAlignment="1">
      <alignment horizontal="right" vertical="top" wrapText="1"/>
    </xf>
    <xf numFmtId="164" fontId="19" fillId="0" borderId="0" xfId="0" applyNumberFormat="1" applyFont="1" applyFill="1" applyBorder="1" applyAlignment="1" applyProtection="1">
      <alignment horizontal="right" vertical="top" wrapText="1"/>
      <protection locked="0"/>
    </xf>
    <xf numFmtId="0" fontId="8" fillId="0" borderId="10" xfId="0" applyFont="1" applyFill="1" applyBorder="1" applyAlignment="1">
      <alignment horizontal="right" vertical="top" wrapText="1"/>
    </xf>
    <xf numFmtId="0" fontId="7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Border="1" applyAlignment="1" applyProtection="1">
      <alignment horizontal="right" vertical="top"/>
    </xf>
    <xf numFmtId="3" fontId="4" fillId="0" borderId="0" xfId="0" applyNumberFormat="1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3" fontId="4" fillId="0" borderId="0" xfId="0" applyNumberFormat="1" applyFont="1" applyFill="1" applyBorder="1" applyAlignment="1" applyProtection="1">
      <alignment vertical="top"/>
    </xf>
    <xf numFmtId="2" fontId="4" fillId="0" borderId="0" xfId="0" applyNumberFormat="1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2" fontId="4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12" xfId="0" applyFont="1" applyBorder="1" applyAlignment="1" applyProtection="1">
      <alignment vertical="top"/>
    </xf>
    <xf numFmtId="0" fontId="4" fillId="0" borderId="12" xfId="0" applyFont="1" applyBorder="1" applyAlignment="1" applyProtection="1">
      <alignment horizontal="right" vertical="top"/>
    </xf>
    <xf numFmtId="2" fontId="4" fillId="0" borderId="12" xfId="0" applyNumberFormat="1" applyFont="1" applyFill="1" applyBorder="1" applyAlignment="1" applyProtection="1">
      <alignment horizontal="right" vertical="top"/>
    </xf>
    <xf numFmtId="2" fontId="4" fillId="0" borderId="12" xfId="0" applyNumberFormat="1" applyFont="1" applyBorder="1" applyAlignment="1" applyProtection="1">
      <alignment horizontal="right" vertical="top"/>
    </xf>
    <xf numFmtId="3" fontId="4" fillId="0" borderId="12" xfId="0" applyNumberFormat="1" applyFont="1" applyBorder="1" applyAlignment="1" applyProtection="1">
      <alignment vertical="top"/>
    </xf>
    <xf numFmtId="164" fontId="3" fillId="0" borderId="7" xfId="0" applyNumberFormat="1" applyFont="1" applyBorder="1" applyAlignment="1">
      <alignment vertical="top"/>
    </xf>
    <xf numFmtId="0" fontId="19" fillId="0" borderId="0" xfId="0" applyFont="1" applyFill="1" applyBorder="1" applyAlignment="1" applyProtection="1">
      <alignment horizontal="right" vertical="top" wrapText="1"/>
      <protection locked="0"/>
    </xf>
    <xf numFmtId="164" fontId="4" fillId="0" borderId="7" xfId="0" applyNumberFormat="1" applyFont="1" applyFill="1" applyBorder="1" applyAlignment="1" applyProtection="1">
      <alignment horizontal="right" vertical="top" wrapText="1"/>
      <protection locked="0"/>
    </xf>
    <xf numFmtId="164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3" borderId="11" xfId="0" applyNumberFormat="1" applyFont="1" applyFill="1" applyBorder="1" applyAlignment="1">
      <alignment horizontal="righ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Fill="1" applyAlignment="1">
      <alignment horizontal="left" vertical="top" wrapText="1"/>
    </xf>
    <xf numFmtId="0" fontId="28" fillId="0" borderId="0" xfId="0" applyFont="1" applyBorder="1" applyAlignment="1">
      <alignment horizontal="left" vertical="top"/>
    </xf>
    <xf numFmtId="0" fontId="28" fillId="0" borderId="0" xfId="0" applyFont="1" applyAlignment="1">
      <alignment horizontal="right" vertical="top"/>
    </xf>
    <xf numFmtId="3" fontId="28" fillId="0" borderId="0" xfId="0" applyNumberFormat="1" applyFont="1" applyFill="1" applyAlignment="1">
      <alignment vertical="top"/>
    </xf>
    <xf numFmtId="2" fontId="28" fillId="0" borderId="0" xfId="0" applyNumberFormat="1" applyFont="1" applyAlignment="1">
      <alignment horizontal="right" vertical="top"/>
    </xf>
    <xf numFmtId="3" fontId="28" fillId="0" borderId="0" xfId="0" applyNumberFormat="1" applyFont="1" applyAlignment="1">
      <alignment vertical="top"/>
    </xf>
    <xf numFmtId="0" fontId="28" fillId="0" borderId="0" xfId="0" applyFont="1" applyFill="1" applyAlignment="1">
      <alignment vertical="top"/>
    </xf>
    <xf numFmtId="4" fontId="17" fillId="0" borderId="13" xfId="0" applyNumberFormat="1" applyFont="1" applyBorder="1" applyAlignment="1">
      <alignment vertical="top"/>
    </xf>
    <xf numFmtId="2" fontId="17" fillId="0" borderId="13" xfId="0" applyNumberFormat="1" applyFont="1" applyBorder="1" applyAlignment="1">
      <alignment vertical="top"/>
    </xf>
    <xf numFmtId="0" fontId="10" fillId="0" borderId="13" xfId="0" applyFont="1" applyBorder="1" applyAlignment="1">
      <alignment horizontal="left" vertical="top"/>
    </xf>
    <xf numFmtId="3" fontId="4" fillId="0" borderId="13" xfId="0" applyNumberFormat="1" applyFont="1" applyFill="1" applyBorder="1" applyAlignment="1">
      <alignment vertical="top"/>
    </xf>
    <xf numFmtId="4" fontId="17" fillId="0" borderId="0" xfId="0" applyNumberFormat="1" applyFont="1" applyBorder="1" applyAlignment="1">
      <alignment vertical="top"/>
    </xf>
    <xf numFmtId="2" fontId="17" fillId="0" borderId="0" xfId="0" applyNumberFormat="1" applyFont="1" applyBorder="1" applyAlignment="1">
      <alignment vertical="top"/>
    </xf>
    <xf numFmtId="2" fontId="24" fillId="0" borderId="0" xfId="0" applyNumberFormat="1" applyFont="1" applyFill="1" applyBorder="1" applyAlignment="1">
      <alignment horizontal="left" vertical="top" wrapText="1"/>
    </xf>
    <xf numFmtId="4" fontId="19" fillId="0" borderId="12" xfId="0" applyNumberFormat="1" applyFont="1" applyBorder="1" applyAlignment="1">
      <alignment vertical="top"/>
    </xf>
    <xf numFmtId="4" fontId="19" fillId="0" borderId="0" xfId="0" applyNumberFormat="1" applyFont="1" applyBorder="1" applyAlignment="1">
      <alignment vertical="top"/>
    </xf>
    <xf numFmtId="2" fontId="24" fillId="0" borderId="0" xfId="0" applyNumberFormat="1" applyFont="1" applyFill="1" applyBorder="1" applyAlignment="1">
      <alignment horizontal="right" vertical="top" wrapText="1"/>
    </xf>
    <xf numFmtId="2" fontId="19" fillId="0" borderId="0" xfId="0" applyNumberFormat="1" applyFont="1" applyBorder="1" applyAlignment="1">
      <alignment horizontal="left" vertical="top"/>
    </xf>
    <xf numFmtId="3" fontId="19" fillId="0" borderId="0" xfId="0" applyNumberFormat="1" applyFont="1" applyFill="1" applyBorder="1" applyAlignment="1">
      <alignment vertical="top"/>
    </xf>
    <xf numFmtId="164" fontId="12" fillId="0" borderId="0" xfId="0" applyNumberFormat="1" applyFont="1" applyFill="1" applyBorder="1" applyAlignment="1">
      <alignment horizontal="right" vertical="top" wrapText="1"/>
    </xf>
    <xf numFmtId="164" fontId="19" fillId="0" borderId="0" xfId="0" applyNumberFormat="1" applyFont="1" applyBorder="1" applyAlignment="1">
      <alignment horizontal="right" vertical="top"/>
    </xf>
    <xf numFmtId="164" fontId="27" fillId="0" borderId="7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Border="1" applyAlignment="1">
      <alignment vertical="top"/>
    </xf>
    <xf numFmtId="2" fontId="8" fillId="0" borderId="13" xfId="0" applyNumberFormat="1" applyFont="1" applyFill="1" applyBorder="1" applyAlignment="1" applyProtection="1">
      <alignment horizontal="left" vertical="top" wrapText="1"/>
    </xf>
    <xf numFmtId="165" fontId="8" fillId="0" borderId="13" xfId="0" applyNumberFormat="1" applyFont="1" applyFill="1" applyBorder="1" applyAlignment="1" applyProtection="1">
      <alignment horizontal="right" vertical="top"/>
    </xf>
    <xf numFmtId="2" fontId="8" fillId="0" borderId="13" xfId="0" applyNumberFormat="1" applyFont="1" applyFill="1" applyBorder="1" applyAlignment="1" applyProtection="1">
      <alignment horizontal="right" vertical="top"/>
    </xf>
    <xf numFmtId="2" fontId="8" fillId="4" borderId="13" xfId="0" applyNumberFormat="1" applyFont="1" applyFill="1" applyBorder="1" applyAlignment="1">
      <alignment vertical="top" wrapText="1"/>
    </xf>
    <xf numFmtId="2" fontId="20" fillId="0" borderId="0" xfId="0" applyNumberFormat="1" applyFont="1" applyFill="1" applyBorder="1" applyAlignment="1" applyProtection="1">
      <alignment horizontal="left" vertical="top" wrapText="1"/>
    </xf>
    <xf numFmtId="165" fontId="8" fillId="0" borderId="0" xfId="0" applyNumberFormat="1" applyFont="1" applyFill="1" applyBorder="1" applyAlignment="1" applyProtection="1">
      <alignment horizontal="right" vertical="top"/>
    </xf>
    <xf numFmtId="2" fontId="20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/>
    </xf>
    <xf numFmtId="165" fontId="8" fillId="0" borderId="13" xfId="0" applyNumberFormat="1" applyFont="1" applyFill="1" applyBorder="1" applyAlignment="1" applyProtection="1">
      <alignment horizontal="left" vertical="top"/>
    </xf>
    <xf numFmtId="164" fontId="8" fillId="0" borderId="13" xfId="0" applyNumberFormat="1" applyFont="1" applyFill="1" applyBorder="1" applyAlignment="1" applyProtection="1">
      <alignment horizontal="right" vertical="top" wrapText="1"/>
    </xf>
    <xf numFmtId="2" fontId="8" fillId="4" borderId="13" xfId="0" applyNumberFormat="1" applyFont="1" applyFill="1" applyBorder="1" applyAlignment="1" applyProtection="1">
      <alignment horizontal="right" vertical="top"/>
    </xf>
    <xf numFmtId="165" fontId="8" fillId="0" borderId="0" xfId="0" applyNumberFormat="1" applyFont="1" applyFill="1" applyBorder="1" applyAlignment="1" applyProtection="1">
      <alignment horizontal="left" vertical="top"/>
    </xf>
    <xf numFmtId="2" fontId="20" fillId="0" borderId="0" xfId="0" applyNumberFormat="1" applyFont="1" applyFill="1" applyBorder="1" applyAlignment="1">
      <alignment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4" fillId="0" borderId="0" xfId="0" applyFont="1"/>
    <xf numFmtId="164" fontId="8" fillId="0" borderId="0" xfId="0" applyNumberFormat="1" applyFont="1" applyFill="1" applyBorder="1" applyAlignment="1" applyProtection="1">
      <alignment horizontal="right" vertical="top" wrapText="1"/>
    </xf>
    <xf numFmtId="2" fontId="20" fillId="0" borderId="12" xfId="0" applyNumberFormat="1" applyFont="1" applyFill="1" applyBorder="1" applyAlignment="1" applyProtection="1">
      <alignment horizontal="left" vertical="top" wrapText="1"/>
    </xf>
    <xf numFmtId="165" fontId="8" fillId="0" borderId="12" xfId="0" applyNumberFormat="1" applyFont="1" applyFill="1" applyBorder="1" applyAlignment="1" applyProtection="1">
      <alignment horizontal="right" vertical="top"/>
    </xf>
    <xf numFmtId="0" fontId="4" fillId="0" borderId="0" xfId="0" applyFont="1" applyBorder="1"/>
    <xf numFmtId="2" fontId="8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right"/>
    </xf>
    <xf numFmtId="2" fontId="20" fillId="0" borderId="0" xfId="0" applyNumberFormat="1" applyFont="1" applyFill="1" applyBorder="1" applyAlignment="1" applyProtection="1">
      <alignment horizontal="right" vertical="top"/>
    </xf>
    <xf numFmtId="0" fontId="4" fillId="0" borderId="0" xfId="0" applyFont="1" applyFill="1" applyAlignment="1">
      <alignment horizontal="left"/>
    </xf>
    <xf numFmtId="2" fontId="4" fillId="0" borderId="0" xfId="0" applyNumberFormat="1" applyFont="1"/>
    <xf numFmtId="3" fontId="4" fillId="0" borderId="0" xfId="0" applyNumberFormat="1" applyFont="1"/>
    <xf numFmtId="2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left" vertical="top"/>
    </xf>
    <xf numFmtId="0" fontId="4" fillId="0" borderId="13" xfId="0" applyNumberFormat="1" applyFont="1" applyFill="1" applyBorder="1" applyAlignment="1">
      <alignment horizontal="left" vertical="top" wrapText="1"/>
    </xf>
    <xf numFmtId="2" fontId="4" fillId="0" borderId="13" xfId="0" applyNumberFormat="1" applyFont="1" applyFill="1" applyBorder="1" applyAlignment="1">
      <alignment horizontal="right" vertical="top"/>
    </xf>
    <xf numFmtId="0" fontId="28" fillId="0" borderId="0" xfId="0" applyFont="1" applyFill="1" applyBorder="1" applyAlignment="1">
      <alignment horizontal="left" vertical="top" wrapText="1"/>
    </xf>
    <xf numFmtId="2" fontId="10" fillId="0" borderId="0" xfId="0" applyNumberFormat="1" applyFont="1" applyBorder="1" applyAlignment="1">
      <alignment horizontal="left" vertical="top"/>
    </xf>
    <xf numFmtId="165" fontId="20" fillId="0" borderId="0" xfId="0" applyNumberFormat="1" applyFont="1" applyFill="1" applyBorder="1" applyAlignment="1" applyProtection="1">
      <alignment horizontal="right" vertical="top"/>
    </xf>
    <xf numFmtId="0" fontId="7" fillId="0" borderId="13" xfId="0" applyFont="1" applyBorder="1" applyAlignment="1">
      <alignment horizontal="left" vertical="top"/>
    </xf>
    <xf numFmtId="0" fontId="4" fillId="0" borderId="13" xfId="0" applyFont="1" applyFill="1" applyBorder="1" applyAlignment="1">
      <alignment wrapText="1"/>
    </xf>
    <xf numFmtId="0" fontId="19" fillId="0" borderId="0" xfId="0" applyFont="1" applyFill="1"/>
    <xf numFmtId="0" fontId="19" fillId="0" borderId="0" xfId="0" applyFont="1" applyFill="1" applyAlignment="1">
      <alignment horizontal="right"/>
    </xf>
    <xf numFmtId="2" fontId="19" fillId="0" borderId="0" xfId="0" applyNumberFormat="1" applyFont="1" applyFill="1"/>
    <xf numFmtId="0" fontId="19" fillId="0" borderId="12" xfId="0" applyFont="1" applyFill="1" applyBorder="1"/>
    <xf numFmtId="0" fontId="19" fillId="0" borderId="12" xfId="0" applyFont="1" applyFill="1" applyBorder="1" applyAlignment="1">
      <alignment horizontal="right"/>
    </xf>
    <xf numFmtId="2" fontId="19" fillId="0" borderId="12" xfId="0" applyNumberFormat="1" applyFont="1" applyFill="1" applyBorder="1"/>
    <xf numFmtId="0" fontId="26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4" fillId="0" borderId="13" xfId="0" applyFont="1" applyFill="1" applyBorder="1" applyAlignment="1">
      <alignment vertical="top" wrapText="1"/>
    </xf>
    <xf numFmtId="0" fontId="19" fillId="0" borderId="12" xfId="0" applyFont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2" fontId="26" fillId="0" borderId="0" xfId="0" applyNumberFormat="1" applyFont="1" applyBorder="1" applyAlignment="1">
      <alignment horizontal="right" vertical="top"/>
    </xf>
    <xf numFmtId="2" fontId="26" fillId="0" borderId="0" xfId="0" applyNumberFormat="1" applyFont="1" applyFill="1" applyBorder="1" applyAlignment="1">
      <alignment vertical="top"/>
    </xf>
    <xf numFmtId="2" fontId="26" fillId="0" borderId="12" xfId="0" applyNumberFormat="1" applyFont="1" applyBorder="1" applyAlignment="1">
      <alignment horizontal="right" vertical="top"/>
    </xf>
    <xf numFmtId="2" fontId="26" fillId="0" borderId="12" xfId="0" applyNumberFormat="1" applyFont="1" applyFill="1" applyBorder="1" applyAlignment="1">
      <alignment vertical="top"/>
    </xf>
    <xf numFmtId="2" fontId="19" fillId="0" borderId="12" xfId="0" applyNumberFormat="1" applyFont="1" applyBorder="1" applyAlignment="1">
      <alignment horizontal="left" vertical="top"/>
    </xf>
    <xf numFmtId="2" fontId="4" fillId="4" borderId="13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Alignment="1">
      <alignment vertical="top"/>
    </xf>
    <xf numFmtId="0" fontId="19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2" fontId="4" fillId="0" borderId="0" xfId="0" applyNumberFormat="1" applyFont="1" applyAlignment="1">
      <alignment vertical="top" wrapText="1"/>
    </xf>
    <xf numFmtId="0" fontId="4" fillId="0" borderId="0" xfId="3" applyFont="1" applyBorder="1" applyAlignment="1" applyProtection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/>
    </xf>
    <xf numFmtId="2" fontId="3" fillId="0" borderId="0" xfId="0" applyNumberFormat="1" applyFont="1" applyFill="1" applyBorder="1" applyAlignment="1">
      <alignment vertical="top"/>
    </xf>
    <xf numFmtId="2" fontId="3" fillId="0" borderId="0" xfId="0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right" vertical="top"/>
    </xf>
    <xf numFmtId="2" fontId="10" fillId="0" borderId="0" xfId="0" applyNumberFormat="1" applyFont="1" applyFill="1" applyBorder="1" applyAlignment="1">
      <alignment vertical="top"/>
    </xf>
    <xf numFmtId="2" fontId="10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0" fontId="10" fillId="0" borderId="0" xfId="0" applyFont="1" applyFill="1" applyAlignment="1">
      <alignment vertical="top"/>
    </xf>
    <xf numFmtId="0" fontId="4" fillId="0" borderId="7" xfId="0" applyFont="1" applyBorder="1" applyAlignment="1">
      <alignment horizontal="left" vertical="top"/>
    </xf>
    <xf numFmtId="4" fontId="3" fillId="0" borderId="7" xfId="0" applyNumberFormat="1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right" vertical="top"/>
    </xf>
    <xf numFmtId="4" fontId="11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2" fontId="11" fillId="0" borderId="0" xfId="0" applyNumberFormat="1" applyFont="1" applyFill="1" applyBorder="1" applyAlignment="1">
      <alignment vertical="top"/>
    </xf>
    <xf numFmtId="0" fontId="4" fillId="0" borderId="7" xfId="0" applyFont="1" applyBorder="1" applyAlignment="1">
      <alignment horizontal="right" vertical="top"/>
    </xf>
    <xf numFmtId="2" fontId="4" fillId="0" borderId="7" xfId="0" applyNumberFormat="1" applyFont="1" applyFill="1" applyBorder="1" applyAlignment="1">
      <alignment vertical="top"/>
    </xf>
    <xf numFmtId="2" fontId="4" fillId="3" borderId="7" xfId="0" applyNumberFormat="1" applyFont="1" applyFill="1" applyBorder="1" applyAlignment="1">
      <alignment horizontal="right" vertical="top"/>
    </xf>
    <xf numFmtId="0" fontId="4" fillId="0" borderId="7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13" xfId="0" applyNumberFormat="1" applyFont="1" applyFill="1" applyBorder="1" applyAlignment="1">
      <alignment vertical="top" wrapText="1"/>
    </xf>
    <xf numFmtId="0" fontId="20" fillId="0" borderId="0" xfId="0" quotePrefix="1" applyFont="1" applyFill="1" applyBorder="1" applyAlignment="1">
      <alignment horizontal="left" vertical="top" wrapText="1"/>
    </xf>
    <xf numFmtId="0" fontId="3" fillId="0" borderId="13" xfId="2" applyFont="1" applyFill="1" applyBorder="1" applyAlignment="1">
      <alignment horizontal="left" vertical="top"/>
    </xf>
    <xf numFmtId="0" fontId="23" fillId="0" borderId="13" xfId="2" applyNumberFormat="1" applyFont="1" applyFill="1" applyBorder="1" applyAlignment="1">
      <alignment horizontal="left" vertical="top" wrapText="1"/>
    </xf>
    <xf numFmtId="0" fontId="23" fillId="0" borderId="13" xfId="2" applyFont="1" applyFill="1" applyBorder="1" applyAlignment="1">
      <alignment horizontal="right" vertical="top" wrapText="1"/>
    </xf>
    <xf numFmtId="2" fontId="23" fillId="0" borderId="13" xfId="2" applyNumberFormat="1" applyFont="1" applyFill="1" applyBorder="1" applyAlignment="1">
      <alignment horizontal="right" vertical="top" wrapText="1"/>
    </xf>
    <xf numFmtId="2" fontId="8" fillId="4" borderId="13" xfId="2" applyNumberFormat="1" applyFont="1" applyFill="1" applyBorder="1" applyAlignment="1">
      <alignment horizontal="right" vertical="top" wrapText="1"/>
    </xf>
    <xf numFmtId="3" fontId="8" fillId="0" borderId="13" xfId="2" applyNumberFormat="1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left" vertical="top"/>
    </xf>
    <xf numFmtId="0" fontId="20" fillId="0" borderId="0" xfId="2" applyNumberFormat="1" applyFont="1" applyFill="1" applyBorder="1" applyAlignment="1">
      <alignment horizontal="left" vertical="top" wrapText="1"/>
    </xf>
    <xf numFmtId="0" fontId="23" fillId="0" borderId="0" xfId="2" applyFont="1" applyFill="1" applyBorder="1" applyAlignment="1">
      <alignment horizontal="right" vertical="top" wrapText="1"/>
    </xf>
    <xf numFmtId="2" fontId="23" fillId="0" borderId="0" xfId="2" applyNumberFormat="1" applyFont="1" applyFill="1" applyBorder="1" applyAlignment="1">
      <alignment horizontal="right" vertical="top" wrapText="1"/>
    </xf>
    <xf numFmtId="2" fontId="8" fillId="0" borderId="0" xfId="2" applyNumberFormat="1" applyFont="1" applyFill="1" applyBorder="1" applyAlignment="1">
      <alignment horizontal="right" vertical="top" wrapText="1"/>
    </xf>
    <xf numFmtId="3" fontId="8" fillId="0" borderId="0" xfId="2" applyNumberFormat="1" applyFont="1" applyFill="1" applyBorder="1" applyAlignment="1">
      <alignment vertical="top" wrapText="1"/>
    </xf>
    <xf numFmtId="0" fontId="12" fillId="0" borderId="0" xfId="2" applyNumberFormat="1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28" fillId="0" borderId="0" xfId="2" applyNumberFormat="1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19" fillId="0" borderId="0" xfId="0" quotePrefix="1" applyFont="1" applyFill="1" applyAlignment="1">
      <alignment vertical="top"/>
    </xf>
    <xf numFmtId="0" fontId="19" fillId="0" borderId="12" xfId="0" applyFont="1" applyFill="1" applyBorder="1" applyAlignment="1">
      <alignment vertical="top"/>
    </xf>
    <xf numFmtId="0" fontId="12" fillId="0" borderId="12" xfId="0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 applyProtection="1">
      <alignment horizontal="center" vertical="top" wrapText="1"/>
      <protection locked="0"/>
    </xf>
    <xf numFmtId="164" fontId="8" fillId="0" borderId="13" xfId="0" applyNumberFormat="1" applyFont="1" applyFill="1" applyBorder="1" applyAlignment="1">
      <alignment horizontal="right" vertical="top" wrapText="1"/>
    </xf>
    <xf numFmtId="164" fontId="8" fillId="0" borderId="0" xfId="0" applyNumberFormat="1" applyFont="1" applyFill="1" applyBorder="1" applyAlignment="1">
      <alignment horizontal="right" vertical="top" wrapText="1"/>
    </xf>
    <xf numFmtId="164" fontId="19" fillId="0" borderId="0" xfId="0" quotePrefix="1" applyNumberFormat="1" applyFont="1" applyFill="1" applyAlignment="1">
      <alignment vertical="top"/>
    </xf>
    <xf numFmtId="164" fontId="19" fillId="0" borderId="12" xfId="0" quotePrefix="1" applyNumberFormat="1" applyFont="1" applyFill="1" applyBorder="1" applyAlignment="1">
      <alignment vertical="top"/>
    </xf>
    <xf numFmtId="3" fontId="20" fillId="0" borderId="0" xfId="0" applyNumberFormat="1" applyFont="1" applyFill="1" applyBorder="1" applyAlignment="1">
      <alignment vertical="top" wrapText="1"/>
    </xf>
    <xf numFmtId="164" fontId="20" fillId="0" borderId="12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right" vertical="top" wrapText="1"/>
    </xf>
    <xf numFmtId="2" fontId="31" fillId="0" borderId="0" xfId="0" applyNumberFormat="1" applyFont="1" applyFill="1" applyBorder="1" applyAlignment="1">
      <alignment horizontal="right" vertical="top" wrapText="1"/>
    </xf>
    <xf numFmtId="2" fontId="19" fillId="0" borderId="0" xfId="0" quotePrefix="1" applyNumberFormat="1" applyFont="1" applyFill="1" applyAlignment="1">
      <alignment vertical="top"/>
    </xf>
    <xf numFmtId="2" fontId="30" fillId="0" borderId="0" xfId="0" applyNumberFormat="1" applyFont="1" applyFill="1" applyBorder="1" applyAlignment="1">
      <alignment horizontal="right" vertical="top" wrapText="1"/>
    </xf>
    <xf numFmtId="0" fontId="30" fillId="0" borderId="0" xfId="0" quotePrefix="1" applyFont="1" applyFill="1" applyBorder="1" applyAlignment="1">
      <alignment horizontal="left" vertical="top" wrapText="1"/>
    </xf>
    <xf numFmtId="0" fontId="30" fillId="0" borderId="12" xfId="0" applyFont="1" applyFill="1" applyBorder="1" applyAlignment="1">
      <alignment horizontal="left" vertical="top" wrapText="1"/>
    </xf>
    <xf numFmtId="0" fontId="30" fillId="0" borderId="12" xfId="0" applyFont="1" applyFill="1" applyBorder="1" applyAlignment="1">
      <alignment horizontal="right" vertical="top" wrapText="1"/>
    </xf>
    <xf numFmtId="2" fontId="30" fillId="0" borderId="12" xfId="0" applyNumberFormat="1" applyFont="1" applyFill="1" applyBorder="1" applyAlignment="1">
      <alignment horizontal="right" vertical="top" wrapText="1"/>
    </xf>
    <xf numFmtId="0" fontId="21" fillId="0" borderId="13" xfId="0" applyFont="1" applyFill="1" applyBorder="1" applyAlignment="1">
      <alignment horizontal="left" vertical="top" wrapText="1"/>
    </xf>
    <xf numFmtId="3" fontId="31" fillId="0" borderId="0" xfId="0" applyNumberFormat="1" applyFont="1" applyFill="1" applyBorder="1" applyAlignment="1">
      <alignment vertical="top" wrapText="1"/>
    </xf>
    <xf numFmtId="0" fontId="32" fillId="0" borderId="0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right" vertical="top"/>
    </xf>
    <xf numFmtId="0" fontId="3" fillId="0" borderId="13" xfId="0" applyFont="1" applyFill="1" applyBorder="1" applyAlignment="1">
      <alignment vertical="top"/>
    </xf>
    <xf numFmtId="2" fontId="8" fillId="4" borderId="13" xfId="0" applyNumberFormat="1" applyFont="1" applyFill="1" applyBorder="1" applyAlignment="1">
      <alignment horizontal="right" vertical="top" wrapText="1"/>
    </xf>
    <xf numFmtId="2" fontId="8" fillId="4" borderId="7" xfId="0" applyNumberFormat="1" applyFont="1" applyFill="1" applyBorder="1" applyAlignment="1">
      <alignment horizontal="right" vertical="top" wrapText="1"/>
    </xf>
    <xf numFmtId="164" fontId="19" fillId="0" borderId="0" xfId="0" applyNumberFormat="1" applyFont="1" applyFill="1" applyBorder="1" applyAlignment="1" applyProtection="1">
      <alignment horizontal="center" vertical="top" wrapText="1"/>
      <protection locked="0"/>
    </xf>
    <xf numFmtId="0" fontId="19" fillId="0" borderId="12" xfId="0" applyFont="1" applyFill="1" applyBorder="1" applyAlignment="1" applyProtection="1">
      <alignment horizontal="right" vertical="top" wrapText="1"/>
      <protection locked="0"/>
    </xf>
    <xf numFmtId="164" fontId="19" fillId="0" borderId="12" xfId="0" applyNumberFormat="1" applyFont="1" applyFill="1" applyBorder="1" applyAlignment="1" applyProtection="1">
      <alignment horizontal="right" vertical="top" wrapText="1"/>
      <protection locked="0"/>
    </xf>
    <xf numFmtId="2" fontId="21" fillId="0" borderId="0" xfId="0" applyNumberFormat="1" applyFont="1" applyFill="1" applyBorder="1" applyAlignment="1">
      <alignment horizontal="right" vertical="top" wrapText="1"/>
    </xf>
    <xf numFmtId="0" fontId="8" fillId="0" borderId="12" xfId="0" applyFont="1" applyFill="1" applyBorder="1" applyAlignment="1">
      <alignment horizontal="right" vertical="top" wrapText="1"/>
    </xf>
    <xf numFmtId="2" fontId="20" fillId="0" borderId="0" xfId="0" quotePrefix="1" applyNumberFormat="1" applyFont="1" applyFill="1" applyBorder="1" applyAlignment="1" applyProtection="1">
      <alignment horizontal="left" vertical="top" wrapText="1"/>
    </xf>
    <xf numFmtId="2" fontId="20" fillId="0" borderId="12" xfId="0" applyNumberFormat="1" applyFont="1" applyFill="1" applyBorder="1" applyAlignment="1" applyProtection="1">
      <alignment horizontal="right" vertical="top" wrapText="1"/>
    </xf>
    <xf numFmtId="0" fontId="3" fillId="0" borderId="0" xfId="2" applyFont="1" applyFill="1" applyAlignment="1">
      <alignment horizontal="left" vertical="top"/>
    </xf>
    <xf numFmtId="0" fontId="28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right" vertical="top"/>
    </xf>
    <xf numFmtId="2" fontId="4" fillId="0" borderId="0" xfId="2" applyNumberFormat="1" applyFont="1" applyFill="1" applyBorder="1" applyAlignment="1">
      <alignment vertical="top" wrapText="1"/>
    </xf>
    <xf numFmtId="4" fontId="4" fillId="0" borderId="0" xfId="2" applyNumberFormat="1" applyFont="1" applyFill="1" applyBorder="1" applyAlignment="1">
      <alignment horizontal="right" vertical="top" wrapText="1"/>
    </xf>
    <xf numFmtId="3" fontId="4" fillId="0" borderId="0" xfId="2" applyNumberFormat="1" applyFont="1" applyFill="1" applyBorder="1" applyAlignment="1">
      <alignment vertical="top" wrapText="1"/>
    </xf>
    <xf numFmtId="0" fontId="4" fillId="0" borderId="13" xfId="2" applyFont="1" applyFill="1" applyBorder="1" applyAlignment="1">
      <alignment horizontal="left" vertical="top" wrapText="1"/>
    </xf>
    <xf numFmtId="0" fontId="3" fillId="0" borderId="13" xfId="2" applyFont="1" applyFill="1" applyBorder="1" applyAlignment="1">
      <alignment horizontal="right" vertical="top"/>
    </xf>
    <xf numFmtId="2" fontId="4" fillId="0" borderId="13" xfId="2" applyNumberFormat="1" applyFont="1" applyFill="1" applyBorder="1" applyAlignment="1">
      <alignment vertical="top" wrapText="1"/>
    </xf>
    <xf numFmtId="4" fontId="8" fillId="4" borderId="13" xfId="2" applyNumberFormat="1" applyFont="1" applyFill="1" applyBorder="1" applyAlignment="1">
      <alignment horizontal="right" vertical="top" wrapText="1"/>
    </xf>
    <xf numFmtId="3" fontId="4" fillId="0" borderId="13" xfId="2" applyNumberFormat="1" applyFont="1" applyFill="1" applyBorder="1" applyAlignment="1">
      <alignment vertical="top" wrapText="1"/>
    </xf>
    <xf numFmtId="0" fontId="19" fillId="0" borderId="0" xfId="2" applyFont="1" applyFill="1" applyBorder="1" applyAlignment="1">
      <alignment horizontal="left" vertical="top" wrapText="1"/>
    </xf>
    <xf numFmtId="4" fontId="8" fillId="0" borderId="0" xfId="2" applyNumberFormat="1" applyFont="1" applyFill="1" applyBorder="1" applyAlignment="1">
      <alignment horizontal="right" vertical="top" wrapText="1"/>
    </xf>
    <xf numFmtId="0" fontId="19" fillId="0" borderId="0" xfId="2" applyFont="1" applyFill="1" applyBorder="1" applyAlignment="1">
      <alignment horizontal="left" vertical="top"/>
    </xf>
    <xf numFmtId="0" fontId="8" fillId="0" borderId="13" xfId="2" applyFont="1" applyFill="1" applyBorder="1" applyAlignment="1">
      <alignment horizontal="left" vertical="top"/>
    </xf>
    <xf numFmtId="0" fontId="8" fillId="0" borderId="13" xfId="2" applyFont="1" applyFill="1" applyBorder="1" applyAlignment="1">
      <alignment horizontal="left" vertical="top" wrapText="1"/>
    </xf>
    <xf numFmtId="167" fontId="8" fillId="0" borderId="13" xfId="2" applyNumberFormat="1" applyFont="1" applyFill="1" applyBorder="1" applyAlignment="1" applyProtection="1">
      <alignment horizontal="left" vertical="top" wrapText="1"/>
    </xf>
    <xf numFmtId="0" fontId="8" fillId="0" borderId="13" xfId="2" applyFont="1" applyFill="1" applyBorder="1" applyAlignment="1">
      <alignment horizontal="right" vertical="top" wrapText="1"/>
    </xf>
    <xf numFmtId="2" fontId="8" fillId="0" borderId="13" xfId="2" applyNumberFormat="1" applyFont="1" applyFill="1" applyBorder="1" applyAlignment="1">
      <alignment vertical="top" wrapText="1"/>
    </xf>
    <xf numFmtId="2" fontId="3" fillId="4" borderId="13" xfId="2" applyNumberFormat="1" applyFont="1" applyFill="1" applyBorder="1" applyAlignment="1">
      <alignment vertical="top" wrapText="1"/>
    </xf>
    <xf numFmtId="3" fontId="8" fillId="0" borderId="13" xfId="2" applyNumberFormat="1" applyFont="1" applyFill="1" applyBorder="1" applyAlignment="1">
      <alignment vertical="top"/>
    </xf>
    <xf numFmtId="0" fontId="8" fillId="0" borderId="0" xfId="2" applyFont="1" applyFill="1" applyBorder="1" applyAlignment="1">
      <alignment horizontal="left" vertical="top" wrapText="1"/>
    </xf>
    <xf numFmtId="0" fontId="20" fillId="0" borderId="0" xfId="2" applyFont="1" applyFill="1" applyBorder="1" applyAlignment="1">
      <alignment horizontal="right" vertical="top" wrapText="1"/>
    </xf>
    <xf numFmtId="2" fontId="20" fillId="0" borderId="0" xfId="2" applyNumberFormat="1" applyFont="1" applyFill="1" applyBorder="1" applyAlignment="1">
      <alignment vertical="top" wrapText="1"/>
    </xf>
    <xf numFmtId="3" fontId="8" fillId="0" borderId="0" xfId="2" applyNumberFormat="1" applyFont="1" applyFill="1" applyBorder="1" applyAlignment="1">
      <alignment horizontal="right" vertical="top" wrapText="1"/>
    </xf>
    <xf numFmtId="2" fontId="20" fillId="0" borderId="0" xfId="2" applyNumberFormat="1" applyFont="1" applyFill="1" applyBorder="1" applyAlignment="1">
      <alignment vertical="top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2" fontId="8" fillId="0" borderId="13" xfId="2" applyNumberFormat="1" applyFont="1" applyFill="1" applyBorder="1" applyAlignment="1" applyProtection="1">
      <alignment vertical="top" wrapText="1"/>
      <protection locked="0"/>
    </xf>
    <xf numFmtId="2" fontId="8" fillId="0" borderId="13" xfId="2" applyNumberFormat="1" applyFont="1" applyFill="1" applyBorder="1" applyAlignment="1">
      <alignment vertical="top"/>
    </xf>
    <xf numFmtId="4" fontId="4" fillId="4" borderId="13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center"/>
    </xf>
    <xf numFmtId="0" fontId="0" fillId="0" borderId="0" xfId="0" applyBorder="1" applyAlignment="1">
      <alignment horizontal="left" vertical="top"/>
    </xf>
    <xf numFmtId="0" fontId="8" fillId="0" borderId="0" xfId="2" applyFont="1" applyFill="1" applyBorder="1" applyAlignment="1">
      <alignment horizontal="right" vertical="top" wrapText="1"/>
    </xf>
    <xf numFmtId="2" fontId="8" fillId="0" borderId="0" xfId="2" applyNumberFormat="1" applyFont="1" applyFill="1" applyBorder="1" applyAlignment="1">
      <alignment vertical="top" wrapText="1"/>
    </xf>
    <xf numFmtId="3" fontId="8" fillId="0" borderId="0" xfId="2" applyNumberFormat="1" applyFont="1" applyFill="1" applyBorder="1" applyAlignment="1">
      <alignment vertical="top"/>
    </xf>
    <xf numFmtId="0" fontId="0" fillId="0" borderId="0" xfId="0" applyBorder="1"/>
    <xf numFmtId="2" fontId="3" fillId="0" borderId="0" xfId="2" applyNumberFormat="1" applyFont="1" applyFill="1" applyBorder="1" applyAlignment="1">
      <alignment vertical="top" wrapText="1"/>
    </xf>
    <xf numFmtId="0" fontId="20" fillId="0" borderId="0" xfId="2" applyFont="1" applyFill="1" applyBorder="1" applyAlignment="1">
      <alignment horizontal="left" vertical="top"/>
    </xf>
    <xf numFmtId="0" fontId="20" fillId="0" borderId="0" xfId="2" applyFont="1" applyFill="1" applyBorder="1" applyAlignment="1">
      <alignment horizontal="left" vertical="top" wrapText="1"/>
    </xf>
    <xf numFmtId="2" fontId="33" fillId="0" borderId="0" xfId="2" applyNumberFormat="1" applyFont="1" applyFill="1" applyBorder="1" applyAlignment="1" applyProtection="1">
      <alignment vertical="top" wrapText="1"/>
      <protection locked="0"/>
    </xf>
    <xf numFmtId="0" fontId="22" fillId="0" borderId="0" xfId="0" applyFont="1" applyFill="1" applyBorder="1" applyAlignment="1">
      <alignment horizontal="left" vertical="top" wrapText="1"/>
    </xf>
    <xf numFmtId="167" fontId="20" fillId="0" borderId="0" xfId="2" applyNumberFormat="1" applyFont="1" applyFill="1" applyBorder="1" applyAlignment="1" applyProtection="1">
      <alignment horizontal="left" vertical="top" wrapText="1"/>
    </xf>
    <xf numFmtId="2" fontId="20" fillId="0" borderId="0" xfId="2" applyNumberFormat="1" applyFont="1" applyFill="1" applyBorder="1" applyAlignment="1">
      <alignment horizontal="right" vertical="top" wrapText="1"/>
    </xf>
    <xf numFmtId="2" fontId="20" fillId="0" borderId="0" xfId="2" applyNumberFormat="1" applyFont="1" applyFill="1" applyBorder="1" applyAlignment="1" applyProtection="1">
      <alignment horizontal="right" vertical="top" wrapText="1"/>
    </xf>
    <xf numFmtId="167" fontId="20" fillId="0" borderId="12" xfId="2" applyNumberFormat="1" applyFont="1" applyFill="1" applyBorder="1" applyAlignment="1" applyProtection="1">
      <alignment horizontal="left" vertical="top" wrapText="1"/>
    </xf>
    <xf numFmtId="0" fontId="20" fillId="0" borderId="12" xfId="2" applyFont="1" applyFill="1" applyBorder="1" applyAlignment="1">
      <alignment horizontal="right" vertical="top" wrapText="1"/>
    </xf>
    <xf numFmtId="2" fontId="20" fillId="0" borderId="12" xfId="2" applyNumberFormat="1" applyFont="1" applyFill="1" applyBorder="1" applyAlignment="1">
      <alignment vertical="top" wrapText="1"/>
    </xf>
    <xf numFmtId="0" fontId="19" fillId="0" borderId="0" xfId="0" applyFont="1"/>
    <xf numFmtId="2" fontId="19" fillId="0" borderId="0" xfId="0" applyNumberFormat="1" applyFont="1"/>
    <xf numFmtId="3" fontId="0" fillId="0" borderId="0" xfId="0" applyNumberFormat="1"/>
    <xf numFmtId="0" fontId="28" fillId="0" borderId="0" xfId="0" applyFont="1" applyFill="1" applyBorder="1" applyAlignment="1" applyProtection="1">
      <alignment horizontal="left" vertical="top"/>
    </xf>
    <xf numFmtId="0" fontId="28" fillId="0" borderId="0" xfId="0" applyFont="1" applyBorder="1" applyAlignment="1" applyProtection="1">
      <alignment vertical="top"/>
    </xf>
    <xf numFmtId="0" fontId="5" fillId="0" borderId="0" xfId="0" applyFont="1" applyAlignment="1">
      <alignment horizontal="left" vertical="top"/>
    </xf>
    <xf numFmtId="3" fontId="7" fillId="0" borderId="0" xfId="0" applyNumberFormat="1" applyFont="1" applyFill="1" applyBorder="1" applyAlignment="1" applyProtection="1">
      <alignment vertical="top"/>
    </xf>
    <xf numFmtId="2" fontId="7" fillId="0" borderId="0" xfId="0" applyNumberFormat="1" applyFont="1" applyBorder="1" applyAlignment="1" applyProtection="1">
      <alignment vertical="top"/>
    </xf>
    <xf numFmtId="3" fontId="7" fillId="0" borderId="0" xfId="0" applyNumberFormat="1" applyFont="1" applyBorder="1" applyAlignment="1" applyProtection="1">
      <alignment vertical="top"/>
    </xf>
    <xf numFmtId="0" fontId="7" fillId="0" borderId="13" xfId="0" applyFont="1" applyFill="1" applyBorder="1" applyAlignment="1" applyProtection="1">
      <alignment horizontal="right" vertical="top"/>
    </xf>
    <xf numFmtId="0" fontId="4" fillId="0" borderId="13" xfId="0" applyFont="1" applyFill="1" applyBorder="1" applyAlignment="1" applyProtection="1">
      <alignment vertical="top"/>
    </xf>
    <xf numFmtId="3" fontId="4" fillId="0" borderId="13" xfId="0" applyNumberFormat="1" applyFont="1" applyFill="1" applyBorder="1" applyAlignment="1" applyProtection="1">
      <alignment vertical="top"/>
    </xf>
    <xf numFmtId="0" fontId="32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vertical="top" wrapText="1"/>
    </xf>
  </cellXfs>
  <cellStyles count="5">
    <cellStyle name="Excel Built-in Excel Built-in Excel Built-in Normal" xfId="1"/>
    <cellStyle name="Excel Built-in Normal 1" xfId="2"/>
    <cellStyle name="Normálna 3" xfId="3"/>
    <cellStyle name="normální" xfId="0" builtinId="0"/>
    <cellStyle name="Normální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BF1DE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4F6228"/>
      <rgbColor rgb="00800080"/>
      <rgbColor rgb="0000660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5000B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6600"/>
      <rgbColor rgb="00984807"/>
      <rgbColor rgb="00993366"/>
      <rgbColor rgb="000033CC"/>
      <rgbColor rgb="00333333"/>
    </indexedColors>
    <mruColors>
      <color rgb="FF006600"/>
      <color rgb="FF0000CC"/>
      <color rgb="FFFFFFCC"/>
      <color rgb="FF003300"/>
      <color rgb="FF974807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BF1DE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BF1DE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3"/>
  <sheetViews>
    <sheetView tabSelected="1" view="pageBreakPreview" topLeftCell="A34" zoomScaleSheetLayoutView="100" workbookViewId="0">
      <selection activeCell="H44" sqref="H44"/>
    </sheetView>
  </sheetViews>
  <sheetFormatPr defaultRowHeight="12" outlineLevelRow="1" outlineLevelCol="1"/>
  <cols>
    <col min="1" max="1" width="4.140625" style="1" customWidth="1"/>
    <col min="2" max="2" width="3.7109375" style="1" customWidth="1"/>
    <col min="3" max="3" width="12" style="103" customWidth="1"/>
    <col min="4" max="4" width="59.42578125" style="3" customWidth="1"/>
    <col min="5" max="5" width="4" style="3" customWidth="1"/>
    <col min="6" max="6" width="8.42578125" style="4" customWidth="1"/>
    <col min="7" max="7" width="10" style="133" customWidth="1"/>
    <col min="8" max="8" width="10" style="5" customWidth="1"/>
    <col min="9" max="9" width="10" style="6" customWidth="1"/>
    <col min="10" max="10" width="9.140625" style="164" hidden="1" customWidth="1" outlineLevel="1"/>
    <col min="11" max="11" width="9.140625" style="7" hidden="1" customWidth="1" outlineLevel="1"/>
    <col min="12" max="12" width="10" style="8" customWidth="1" collapsed="1"/>
    <col min="13" max="16384" width="9.140625" style="8"/>
  </cols>
  <sheetData>
    <row r="1" spans="1:12">
      <c r="A1" s="9"/>
      <c r="B1" s="10"/>
      <c r="C1" s="188"/>
      <c r="D1" s="11"/>
      <c r="E1" s="12"/>
      <c r="F1" s="13"/>
      <c r="G1" s="121"/>
      <c r="H1" s="13"/>
      <c r="I1" s="14"/>
      <c r="J1" s="163"/>
      <c r="K1" s="15"/>
      <c r="L1" s="6"/>
    </row>
    <row r="2" spans="1:12">
      <c r="A2" s="16"/>
      <c r="B2" s="17"/>
      <c r="C2" s="191"/>
      <c r="D2" s="18" t="s">
        <v>0</v>
      </c>
      <c r="E2" s="19"/>
      <c r="F2" s="20"/>
      <c r="G2" s="20"/>
      <c r="H2" s="22"/>
      <c r="I2" s="23"/>
      <c r="J2" s="163"/>
      <c r="K2" s="15"/>
      <c r="L2" s="6"/>
    </row>
    <row r="3" spans="1:12">
      <c r="A3" s="24"/>
      <c r="B3" s="25"/>
      <c r="C3" s="175"/>
      <c r="D3" s="26"/>
      <c r="E3" s="27"/>
      <c r="F3" s="28"/>
      <c r="G3" s="104"/>
      <c r="H3" s="29"/>
      <c r="I3" s="30"/>
      <c r="J3" s="163"/>
      <c r="K3" s="15"/>
      <c r="L3" s="6"/>
    </row>
    <row r="4" spans="1:12" ht="24">
      <c r="A4" s="24"/>
      <c r="B4" s="25"/>
      <c r="C4" s="176" t="s">
        <v>1</v>
      </c>
      <c r="D4" s="331" t="s">
        <v>267</v>
      </c>
      <c r="E4" s="26"/>
      <c r="F4" s="30"/>
      <c r="G4" s="105"/>
      <c r="H4" s="29"/>
      <c r="I4" s="30"/>
      <c r="J4" s="163"/>
      <c r="K4" s="15"/>
      <c r="L4" s="6"/>
    </row>
    <row r="5" spans="1:12">
      <c r="A5" s="24"/>
      <c r="B5" s="25"/>
      <c r="C5" s="176"/>
      <c r="D5" s="31"/>
      <c r="E5" s="26"/>
      <c r="F5" s="30"/>
      <c r="G5" s="105"/>
      <c r="H5" s="29"/>
      <c r="I5" s="30"/>
      <c r="J5" s="163"/>
      <c r="K5" s="15"/>
      <c r="L5" s="6"/>
    </row>
    <row r="6" spans="1:12" ht="15">
      <c r="A6" s="24"/>
      <c r="B6" s="25"/>
      <c r="C6" s="176" t="s">
        <v>2</v>
      </c>
      <c r="D6" s="32" t="s">
        <v>268</v>
      </c>
      <c r="E6" s="32"/>
      <c r="F6" s="33"/>
      <c r="G6" s="122"/>
      <c r="H6" s="34"/>
      <c r="I6" s="34"/>
      <c r="J6" s="163"/>
      <c r="K6" s="15"/>
      <c r="L6" s="6"/>
    </row>
    <row r="7" spans="1:12" ht="15">
      <c r="A7" s="24"/>
      <c r="B7" s="25"/>
      <c r="C7" s="176"/>
      <c r="D7" s="32"/>
      <c r="E7" s="32"/>
      <c r="F7" s="33"/>
      <c r="G7" s="122"/>
      <c r="H7" s="34"/>
      <c r="I7" s="34"/>
      <c r="J7" s="163"/>
      <c r="K7" s="15"/>
      <c r="L7" s="6"/>
    </row>
    <row r="8" spans="1:12" ht="15">
      <c r="A8" s="24"/>
      <c r="B8" s="25"/>
      <c r="C8" s="176" t="s">
        <v>3</v>
      </c>
      <c r="D8" s="35" t="s">
        <v>269</v>
      </c>
      <c r="E8" s="32"/>
      <c r="F8" s="33"/>
      <c r="G8" s="122"/>
      <c r="H8" s="34"/>
      <c r="I8" s="34"/>
      <c r="J8" s="163"/>
      <c r="K8" s="15"/>
      <c r="L8" s="6"/>
    </row>
    <row r="9" spans="1:12" ht="15">
      <c r="A9" s="24"/>
      <c r="B9" s="25"/>
      <c r="C9" s="176"/>
      <c r="D9" s="32"/>
      <c r="E9" s="32"/>
      <c r="F9" s="33"/>
      <c r="G9" s="122"/>
      <c r="H9" s="34"/>
      <c r="I9" s="34"/>
      <c r="J9" s="163"/>
      <c r="K9" s="15"/>
      <c r="L9" s="6"/>
    </row>
    <row r="10" spans="1:12" ht="15">
      <c r="A10" s="24"/>
      <c r="B10" s="25"/>
      <c r="C10" s="176" t="s">
        <v>4</v>
      </c>
      <c r="D10" s="36"/>
      <c r="E10" s="32"/>
      <c r="F10" s="33"/>
      <c r="G10" s="122"/>
      <c r="H10" s="34"/>
      <c r="I10" s="34"/>
      <c r="J10" s="163"/>
      <c r="K10" s="15"/>
      <c r="L10" s="6"/>
    </row>
    <row r="11" spans="1:12" ht="15">
      <c r="A11" s="24"/>
      <c r="B11" s="25"/>
      <c r="C11" s="176"/>
      <c r="D11" s="33"/>
      <c r="E11" s="32"/>
      <c r="F11" s="33"/>
      <c r="G11" s="122"/>
      <c r="H11" s="34"/>
      <c r="I11" s="34"/>
      <c r="J11" s="163"/>
      <c r="K11" s="15"/>
      <c r="L11" s="6"/>
    </row>
    <row r="12" spans="1:12" ht="15">
      <c r="A12" s="24"/>
      <c r="B12" s="25"/>
      <c r="C12" s="176" t="s">
        <v>5</v>
      </c>
      <c r="D12" s="332" t="s">
        <v>6</v>
      </c>
      <c r="E12" s="32"/>
      <c r="F12" s="33"/>
      <c r="G12" s="122"/>
      <c r="H12" s="34"/>
      <c r="I12" s="34"/>
      <c r="J12" s="163"/>
      <c r="K12" s="15"/>
      <c r="L12" s="6"/>
    </row>
    <row r="13" spans="1:12" ht="15">
      <c r="A13" s="24"/>
      <c r="B13" s="25"/>
      <c r="C13" s="176"/>
      <c r="D13" s="32"/>
      <c r="E13" s="32"/>
      <c r="F13" s="33"/>
      <c r="G13" s="123"/>
      <c r="H13" s="34"/>
      <c r="I13" s="34"/>
      <c r="J13" s="163"/>
      <c r="K13" s="15"/>
      <c r="L13" s="6"/>
    </row>
    <row r="14" spans="1:12" ht="15">
      <c r="A14" s="24"/>
      <c r="B14" s="25"/>
      <c r="C14" s="176"/>
      <c r="D14" s="32" t="s">
        <v>7</v>
      </c>
      <c r="E14" s="32"/>
      <c r="F14" s="33"/>
      <c r="G14" s="123"/>
      <c r="H14" s="37">
        <f>H50</f>
        <v>0</v>
      </c>
      <c r="I14" s="38"/>
      <c r="J14" s="163"/>
      <c r="K14" s="15"/>
      <c r="L14" s="6"/>
    </row>
    <row r="15" spans="1:12" ht="15">
      <c r="A15" s="24"/>
      <c r="B15" s="25"/>
      <c r="C15" s="176"/>
      <c r="D15" s="32" t="s">
        <v>8</v>
      </c>
      <c r="E15" s="32"/>
      <c r="F15" s="33"/>
      <c r="G15" s="124">
        <v>0.21</v>
      </c>
      <c r="H15" s="39">
        <f>H14*0.21</f>
        <v>0</v>
      </c>
      <c r="I15" s="40"/>
      <c r="J15" s="163"/>
      <c r="K15" s="15"/>
      <c r="L15" s="6"/>
    </row>
    <row r="16" spans="1:12" ht="15">
      <c r="A16" s="24"/>
      <c r="B16" s="25"/>
      <c r="C16" s="176"/>
      <c r="D16" s="32" t="s">
        <v>9</v>
      </c>
      <c r="E16" s="32"/>
      <c r="F16" s="33"/>
      <c r="G16" s="123"/>
      <c r="H16" s="37">
        <f>SUM(H14:H15)</f>
        <v>0</v>
      </c>
      <c r="I16" s="38"/>
      <c r="J16" s="163"/>
      <c r="K16" s="15"/>
      <c r="L16" s="6"/>
    </row>
    <row r="17" spans="1:13" ht="15">
      <c r="A17" s="24"/>
      <c r="B17" s="25"/>
      <c r="C17" s="176"/>
      <c r="D17" s="32"/>
      <c r="E17" s="32"/>
      <c r="F17" s="33"/>
      <c r="G17" s="123"/>
      <c r="H17" s="34"/>
      <c r="I17" s="34"/>
      <c r="J17" s="163"/>
      <c r="K17" s="15"/>
      <c r="L17" s="6"/>
    </row>
    <row r="18" spans="1:13" ht="15">
      <c r="A18" s="9"/>
      <c r="B18" s="10"/>
      <c r="C18" s="185"/>
      <c r="D18" s="41"/>
      <c r="E18" s="41"/>
      <c r="F18" s="41"/>
      <c r="G18" s="125"/>
      <c r="H18" s="42"/>
      <c r="I18" s="43"/>
      <c r="J18" s="163"/>
      <c r="K18" s="15"/>
      <c r="L18" s="6"/>
    </row>
    <row r="19" spans="1:13">
      <c r="A19" s="16"/>
      <c r="B19" s="17"/>
      <c r="C19" s="186"/>
      <c r="D19" s="18" t="s">
        <v>10</v>
      </c>
      <c r="E19" s="44"/>
      <c r="F19" s="45"/>
      <c r="G19" s="126"/>
      <c r="H19" s="45"/>
      <c r="I19" s="46"/>
      <c r="J19" s="163"/>
      <c r="K19" s="15"/>
      <c r="L19" s="6"/>
    </row>
    <row r="20" spans="1:13">
      <c r="A20" s="47"/>
      <c r="B20" s="48"/>
      <c r="C20" s="187" t="s">
        <v>11</v>
      </c>
      <c r="D20" s="49" t="s">
        <v>12</v>
      </c>
      <c r="E20" s="49"/>
      <c r="F20" s="50"/>
      <c r="G20" s="127"/>
      <c r="H20" s="51" t="s">
        <v>13</v>
      </c>
      <c r="I20" s="51"/>
      <c r="J20" s="163"/>
      <c r="K20" s="15"/>
      <c r="L20" s="6"/>
    </row>
    <row r="21" spans="1:13" ht="15">
      <c r="A21" s="24"/>
      <c r="B21" s="25"/>
      <c r="C21" s="33"/>
      <c r="D21" s="33"/>
      <c r="E21" s="33"/>
      <c r="F21" s="33"/>
      <c r="G21" s="123"/>
      <c r="H21" s="52"/>
      <c r="I21" s="52"/>
      <c r="J21" s="163"/>
      <c r="K21" s="15"/>
      <c r="L21" s="6"/>
    </row>
    <row r="22" spans="1:13">
      <c r="A22" s="24"/>
      <c r="B22" s="25"/>
      <c r="C22" s="177" t="s">
        <v>14</v>
      </c>
      <c r="D22" s="226" t="s">
        <v>15</v>
      </c>
      <c r="E22" s="227"/>
      <c r="F22" s="228"/>
      <c r="G22" s="229"/>
      <c r="H22" s="230"/>
      <c r="I22" s="30"/>
      <c r="J22" s="163"/>
      <c r="K22" s="15"/>
      <c r="L22" s="6"/>
    </row>
    <row r="23" spans="1:13">
      <c r="A23" s="24"/>
      <c r="B23" s="25"/>
      <c r="C23" s="178">
        <v>1</v>
      </c>
      <c r="D23" s="231" t="s">
        <v>16</v>
      </c>
      <c r="E23" s="227"/>
      <c r="F23" s="228"/>
      <c r="G23" s="229"/>
      <c r="H23" s="230">
        <f>H59</f>
        <v>0</v>
      </c>
      <c r="I23" s="30"/>
      <c r="J23" s="163"/>
      <c r="K23" s="15"/>
      <c r="L23" s="6"/>
    </row>
    <row r="24" spans="1:13">
      <c r="A24" s="24"/>
      <c r="B24" s="25"/>
      <c r="C24" s="178">
        <v>2</v>
      </c>
      <c r="D24" s="231" t="s">
        <v>17</v>
      </c>
      <c r="E24" s="227"/>
      <c r="F24" s="228"/>
      <c r="G24" s="229"/>
      <c r="H24" s="230">
        <f>H158</f>
        <v>0</v>
      </c>
      <c r="I24" s="30"/>
      <c r="J24" s="163"/>
      <c r="K24" s="15"/>
      <c r="L24" s="6"/>
      <c r="M24" s="5"/>
    </row>
    <row r="25" spans="1:13">
      <c r="A25" s="24"/>
      <c r="B25" s="25"/>
      <c r="C25" s="178">
        <v>5</v>
      </c>
      <c r="D25" s="231" t="s">
        <v>274</v>
      </c>
      <c r="E25" s="227"/>
      <c r="F25" s="228"/>
      <c r="G25" s="229"/>
      <c r="H25" s="230">
        <f>H198</f>
        <v>0</v>
      </c>
      <c r="I25" s="30"/>
      <c r="J25" s="163"/>
      <c r="K25" s="15"/>
      <c r="L25" s="6"/>
      <c r="M25" s="5"/>
    </row>
    <row r="26" spans="1:13">
      <c r="A26" s="24"/>
      <c r="B26" s="25"/>
      <c r="C26" s="178">
        <v>6</v>
      </c>
      <c r="D26" s="231" t="s">
        <v>18</v>
      </c>
      <c r="E26" s="227"/>
      <c r="F26" s="228"/>
      <c r="G26" s="229"/>
      <c r="H26" s="230">
        <f>H219</f>
        <v>0</v>
      </c>
      <c r="I26" s="30"/>
      <c r="J26" s="163"/>
      <c r="K26" s="15"/>
      <c r="L26" s="4"/>
      <c r="M26" s="5"/>
    </row>
    <row r="27" spans="1:13">
      <c r="A27" s="24"/>
      <c r="B27" s="25"/>
      <c r="C27" s="178">
        <v>9</v>
      </c>
      <c r="D27" s="231" t="s">
        <v>272</v>
      </c>
      <c r="E27" s="227"/>
      <c r="F27" s="228"/>
      <c r="G27" s="229"/>
      <c r="H27" s="230">
        <f>H233</f>
        <v>0</v>
      </c>
      <c r="I27" s="30"/>
      <c r="J27" s="163"/>
      <c r="K27" s="15"/>
      <c r="L27" s="4"/>
      <c r="M27" s="5"/>
    </row>
    <row r="28" spans="1:13">
      <c r="A28" s="24"/>
      <c r="B28" s="25"/>
      <c r="C28" s="178">
        <v>99</v>
      </c>
      <c r="D28" s="231" t="s">
        <v>19</v>
      </c>
      <c r="E28" s="227"/>
      <c r="F28" s="228"/>
      <c r="G28" s="229"/>
      <c r="H28" s="230">
        <f>H293</f>
        <v>0</v>
      </c>
      <c r="I28" s="30"/>
      <c r="J28" s="163"/>
      <c r="K28" s="15"/>
      <c r="L28" s="4"/>
      <c r="M28" s="5"/>
    </row>
    <row r="29" spans="1:13">
      <c r="A29" s="24"/>
      <c r="B29" s="25"/>
      <c r="C29" s="178"/>
      <c r="D29" s="231"/>
      <c r="E29" s="227"/>
      <c r="F29" s="228"/>
      <c r="G29" s="229"/>
      <c r="H29" s="230"/>
      <c r="I29" s="30"/>
      <c r="J29" s="163"/>
      <c r="K29" s="15"/>
      <c r="L29" s="6"/>
      <c r="M29" s="5"/>
    </row>
    <row r="30" spans="1:13">
      <c r="A30" s="24"/>
      <c r="B30" s="25"/>
      <c r="C30" s="177" t="s">
        <v>20</v>
      </c>
      <c r="D30" s="226" t="s">
        <v>21</v>
      </c>
      <c r="E30" s="227"/>
      <c r="F30" s="228"/>
      <c r="G30" s="229"/>
      <c r="H30" s="230"/>
      <c r="I30" s="30"/>
      <c r="J30" s="163"/>
      <c r="K30" s="15"/>
      <c r="L30" s="4"/>
      <c r="M30" s="5"/>
    </row>
    <row r="31" spans="1:13">
      <c r="A31" s="24"/>
      <c r="B31" s="25"/>
      <c r="C31" s="178">
        <v>711</v>
      </c>
      <c r="D31" s="53" t="s">
        <v>22</v>
      </c>
      <c r="E31" s="227"/>
      <c r="F31" s="228"/>
      <c r="G31" s="229"/>
      <c r="H31" s="230">
        <f>H296</f>
        <v>0</v>
      </c>
      <c r="I31" s="30"/>
      <c r="J31" s="163"/>
      <c r="K31" s="15"/>
      <c r="L31" s="6"/>
      <c r="M31" s="5"/>
    </row>
    <row r="32" spans="1:13">
      <c r="A32" s="24"/>
      <c r="B32" s="25"/>
      <c r="C32" s="178">
        <v>712</v>
      </c>
      <c r="D32" s="53" t="s">
        <v>270</v>
      </c>
      <c r="E32" s="227"/>
      <c r="F32" s="228"/>
      <c r="G32" s="229"/>
      <c r="H32" s="230">
        <f>H327</f>
        <v>0</v>
      </c>
      <c r="I32" s="30"/>
      <c r="J32" s="163"/>
      <c r="K32" s="15"/>
      <c r="L32" s="6"/>
      <c r="M32" s="5"/>
    </row>
    <row r="33" spans="1:13">
      <c r="A33" s="24"/>
      <c r="B33" s="25"/>
      <c r="C33" s="178">
        <v>713</v>
      </c>
      <c r="D33" s="53" t="s">
        <v>23</v>
      </c>
      <c r="E33" s="227"/>
      <c r="F33" s="228"/>
      <c r="G33" s="229"/>
      <c r="H33" s="230">
        <f>H377</f>
        <v>0</v>
      </c>
      <c r="I33" s="30"/>
      <c r="J33" s="163"/>
      <c r="K33" s="15"/>
      <c r="L33" s="6"/>
      <c r="M33" s="5"/>
    </row>
    <row r="34" spans="1:13">
      <c r="A34" s="24"/>
      <c r="B34" s="25"/>
      <c r="C34" s="178">
        <v>762</v>
      </c>
      <c r="D34" s="53" t="s">
        <v>24</v>
      </c>
      <c r="E34" s="227"/>
      <c r="F34" s="228"/>
      <c r="G34" s="229"/>
      <c r="H34" s="230">
        <f>H462</f>
        <v>0</v>
      </c>
      <c r="I34" s="30"/>
      <c r="J34" s="163"/>
      <c r="K34" s="15"/>
      <c r="L34" s="6"/>
      <c r="M34" s="5"/>
    </row>
    <row r="35" spans="1:13">
      <c r="A35" s="24"/>
      <c r="B35" s="25"/>
      <c r="C35" s="178">
        <v>764</v>
      </c>
      <c r="D35" s="53" t="s">
        <v>25</v>
      </c>
      <c r="E35" s="227"/>
      <c r="F35" s="228"/>
      <c r="G35" s="229"/>
      <c r="H35" s="230">
        <f>H480</f>
        <v>0</v>
      </c>
      <c r="I35" s="30"/>
      <c r="J35" s="163"/>
      <c r="K35" s="15"/>
      <c r="L35" s="6"/>
      <c r="M35" s="5"/>
    </row>
    <row r="36" spans="1:13">
      <c r="A36" s="24"/>
      <c r="B36" s="25"/>
      <c r="C36" s="178">
        <v>767</v>
      </c>
      <c r="D36" s="53" t="s">
        <v>26</v>
      </c>
      <c r="E36" s="227"/>
      <c r="F36" s="228"/>
      <c r="G36" s="229"/>
      <c r="H36" s="230">
        <f>H486</f>
        <v>0</v>
      </c>
      <c r="I36" s="30"/>
      <c r="J36" s="163"/>
      <c r="K36" s="15"/>
      <c r="L36" s="6"/>
      <c r="M36" s="5"/>
    </row>
    <row r="37" spans="1:13">
      <c r="A37" s="24"/>
      <c r="B37" s="25"/>
      <c r="C37" s="178">
        <v>783</v>
      </c>
      <c r="D37" s="53" t="s">
        <v>27</v>
      </c>
      <c r="E37" s="178"/>
      <c r="F37" s="228"/>
      <c r="G37" s="228"/>
      <c r="H37" s="232">
        <f>H514</f>
        <v>0</v>
      </c>
      <c r="I37" s="30"/>
      <c r="J37" s="163"/>
      <c r="K37" s="15"/>
      <c r="L37" s="6"/>
      <c r="M37" s="5"/>
    </row>
    <row r="38" spans="1:13">
      <c r="A38" s="24"/>
      <c r="B38" s="25"/>
      <c r="C38" s="178" t="s">
        <v>91</v>
      </c>
      <c r="D38" s="53" t="s">
        <v>271</v>
      </c>
      <c r="E38" s="227"/>
      <c r="F38" s="228"/>
      <c r="G38" s="229"/>
      <c r="H38" s="230">
        <f>H571</f>
        <v>0</v>
      </c>
      <c r="I38" s="30"/>
      <c r="J38" s="163"/>
      <c r="K38" s="15"/>
      <c r="L38" s="6"/>
      <c r="M38" s="5"/>
    </row>
    <row r="39" spans="1:13">
      <c r="A39" s="24"/>
      <c r="B39" s="25"/>
      <c r="C39" s="178"/>
      <c r="D39" s="53" t="s">
        <v>31</v>
      </c>
      <c r="E39" s="54"/>
      <c r="F39" s="55"/>
      <c r="G39" s="55"/>
      <c r="H39" s="230">
        <f>H590</f>
        <v>0</v>
      </c>
      <c r="I39" s="30"/>
      <c r="J39" s="163"/>
      <c r="K39" s="15"/>
      <c r="L39" s="6"/>
      <c r="M39" s="5"/>
    </row>
    <row r="40" spans="1:13">
      <c r="A40" s="24"/>
      <c r="B40" s="25"/>
      <c r="C40" s="178"/>
      <c r="D40" s="53"/>
      <c r="E40" s="54"/>
      <c r="F40" s="55"/>
      <c r="G40" s="55"/>
      <c r="H40" s="230"/>
      <c r="I40" s="30"/>
      <c r="J40" s="163"/>
      <c r="K40" s="15"/>
      <c r="L40" s="6"/>
      <c r="M40" s="5"/>
    </row>
    <row r="41" spans="1:13">
      <c r="A41" s="24"/>
      <c r="B41" s="25"/>
      <c r="C41" s="177" t="s">
        <v>28</v>
      </c>
      <c r="D41" s="203" t="s">
        <v>71</v>
      </c>
      <c r="E41" s="227"/>
      <c r="F41" s="228"/>
      <c r="G41" s="229"/>
      <c r="H41" s="230"/>
      <c r="I41" s="30"/>
      <c r="J41" s="163"/>
      <c r="K41" s="15"/>
      <c r="L41" s="6"/>
      <c r="M41" s="5"/>
    </row>
    <row r="42" spans="1:13">
      <c r="A42" s="24"/>
      <c r="B42" s="25"/>
      <c r="C42" s="178"/>
      <c r="D42" s="53" t="s">
        <v>29</v>
      </c>
      <c r="E42" s="54"/>
      <c r="F42" s="55"/>
      <c r="G42" s="55"/>
      <c r="H42" s="232">
        <v>0</v>
      </c>
      <c r="I42" s="30"/>
      <c r="J42" s="163"/>
      <c r="K42" s="15"/>
      <c r="L42" s="6"/>
      <c r="M42" s="5"/>
    </row>
    <row r="43" spans="1:13">
      <c r="A43" s="24"/>
      <c r="B43" s="25"/>
      <c r="C43" s="178"/>
      <c r="D43" s="53" t="s">
        <v>30</v>
      </c>
      <c r="E43" s="54"/>
      <c r="F43" s="55"/>
      <c r="G43" s="55"/>
      <c r="H43" s="232">
        <v>0</v>
      </c>
      <c r="I43" s="30"/>
      <c r="J43" s="163"/>
      <c r="K43" s="15"/>
      <c r="L43" s="29"/>
      <c r="M43" s="5"/>
    </row>
    <row r="44" spans="1:13">
      <c r="A44" s="24"/>
      <c r="B44" s="25"/>
      <c r="C44" s="178"/>
      <c r="I44" s="30"/>
      <c r="J44" s="163"/>
      <c r="K44" s="15"/>
      <c r="L44" s="29"/>
      <c r="M44" s="5"/>
    </row>
    <row r="45" spans="1:13">
      <c r="A45" s="24"/>
      <c r="B45" s="25"/>
      <c r="C45" s="178"/>
      <c r="D45" s="53"/>
      <c r="E45" s="54"/>
      <c r="F45" s="55"/>
      <c r="G45" s="55"/>
      <c r="H45" s="230"/>
      <c r="I45" s="30"/>
      <c r="J45" s="163"/>
      <c r="K45" s="15"/>
      <c r="L45" s="6"/>
      <c r="M45" s="5"/>
    </row>
    <row r="46" spans="1:13">
      <c r="A46" s="24"/>
      <c r="B46" s="25"/>
      <c r="C46" s="177" t="s">
        <v>457</v>
      </c>
      <c r="D46" s="226" t="s">
        <v>456</v>
      </c>
      <c r="E46" s="231"/>
      <c r="F46" s="232"/>
      <c r="G46" s="233"/>
      <c r="H46" s="230"/>
      <c r="I46" s="30"/>
      <c r="J46" s="163"/>
      <c r="K46" s="15"/>
      <c r="L46" s="6"/>
      <c r="M46" s="5"/>
    </row>
    <row r="47" spans="1:13">
      <c r="A47" s="24"/>
      <c r="B47" s="25"/>
      <c r="C47" s="177"/>
      <c r="D47" s="234" t="s">
        <v>32</v>
      </c>
      <c r="E47" s="234"/>
      <c r="F47" s="232"/>
      <c r="G47" s="235"/>
      <c r="H47" s="232">
        <f>H599</f>
        <v>0</v>
      </c>
      <c r="I47" s="30"/>
      <c r="J47" s="163"/>
      <c r="K47" s="15"/>
      <c r="L47" s="6"/>
      <c r="M47" s="5"/>
    </row>
    <row r="48" spans="1:13">
      <c r="A48" s="24"/>
      <c r="B48" s="25"/>
      <c r="C48" s="177"/>
      <c r="D48" s="234" t="s">
        <v>282</v>
      </c>
      <c r="E48" s="234"/>
      <c r="F48" s="232"/>
      <c r="G48" s="235"/>
      <c r="H48" s="232">
        <f>H601</f>
        <v>0</v>
      </c>
      <c r="I48" s="30"/>
      <c r="J48" s="163"/>
      <c r="K48" s="15"/>
      <c r="L48" s="6"/>
      <c r="M48" s="5"/>
    </row>
    <row r="49" spans="1:12">
      <c r="A49" s="24"/>
      <c r="B49" s="25"/>
      <c r="C49" s="177"/>
      <c r="D49" s="234" t="s">
        <v>33</v>
      </c>
      <c r="E49" s="234"/>
      <c r="F49" s="232"/>
      <c r="G49" s="235"/>
      <c r="H49" s="232">
        <f>H603</f>
        <v>0</v>
      </c>
      <c r="I49" s="30"/>
      <c r="J49" s="163"/>
      <c r="K49" s="15"/>
      <c r="L49" s="6"/>
    </row>
    <row r="50" spans="1:12">
      <c r="A50" s="24"/>
      <c r="B50" s="25"/>
      <c r="C50" s="236"/>
      <c r="D50" s="237" t="s">
        <v>34</v>
      </c>
      <c r="E50" s="238"/>
      <c r="F50" s="239"/>
      <c r="G50" s="240"/>
      <c r="H50" s="241">
        <f>SUM(H23:H49)</f>
        <v>0</v>
      </c>
      <c r="I50" s="30"/>
      <c r="J50" s="163"/>
      <c r="K50" s="15"/>
      <c r="L50" s="4"/>
    </row>
    <row r="51" spans="1:12">
      <c r="A51" s="24"/>
      <c r="B51" s="25"/>
      <c r="C51" s="175"/>
      <c r="D51" s="112"/>
      <c r="E51" s="27"/>
      <c r="F51" s="28"/>
      <c r="G51" s="104"/>
      <c r="H51" s="29"/>
      <c r="I51" s="30"/>
      <c r="J51" s="163"/>
      <c r="K51" s="15"/>
      <c r="L51" s="6"/>
    </row>
    <row r="52" spans="1:12">
      <c r="A52" s="24"/>
      <c r="B52" s="25"/>
      <c r="C52" s="175"/>
      <c r="D52" s="155"/>
      <c r="E52" s="27"/>
      <c r="F52" s="28"/>
      <c r="G52" s="104"/>
      <c r="H52" s="29"/>
      <c r="I52" s="30"/>
      <c r="J52" s="163"/>
      <c r="K52" s="15"/>
      <c r="L52" s="6"/>
    </row>
    <row r="53" spans="1:12">
      <c r="A53" s="24"/>
      <c r="B53" s="25"/>
      <c r="C53" s="171"/>
      <c r="D53" s="2"/>
      <c r="G53" s="118"/>
      <c r="I53" s="4"/>
      <c r="J53" s="163"/>
      <c r="K53" s="15"/>
      <c r="L53" s="6"/>
    </row>
    <row r="54" spans="1:12">
      <c r="A54" s="24"/>
      <c r="B54" s="25"/>
      <c r="C54" s="171"/>
      <c r="D54" s="2"/>
      <c r="G54" s="118"/>
      <c r="I54" s="4"/>
      <c r="J54" s="163"/>
      <c r="K54" s="15"/>
      <c r="L54" s="6"/>
    </row>
    <row r="55" spans="1:12">
      <c r="A55" s="9"/>
      <c r="B55" s="10"/>
      <c r="C55" s="188"/>
      <c r="D55" s="11"/>
      <c r="E55" s="12"/>
      <c r="F55" s="13"/>
      <c r="G55" s="121"/>
      <c r="H55" s="13"/>
      <c r="I55" s="56"/>
      <c r="J55" s="163"/>
      <c r="K55" s="15"/>
    </row>
    <row r="56" spans="1:12">
      <c r="A56" s="16"/>
      <c r="B56" s="17"/>
      <c r="C56" s="189"/>
      <c r="D56" s="18" t="s">
        <v>35</v>
      </c>
      <c r="E56" s="57"/>
      <c r="F56" s="58"/>
      <c r="G56" s="20"/>
      <c r="H56" s="21"/>
      <c r="I56" s="59"/>
      <c r="J56" s="163"/>
      <c r="K56" s="15"/>
    </row>
    <row r="57" spans="1:12" ht="24">
      <c r="A57" s="60" t="s">
        <v>36</v>
      </c>
      <c r="B57" s="61" t="s">
        <v>37</v>
      </c>
      <c r="C57" s="190" t="s">
        <v>38</v>
      </c>
      <c r="D57" s="62" t="s">
        <v>39</v>
      </c>
      <c r="E57" s="62" t="s">
        <v>40</v>
      </c>
      <c r="F57" s="63" t="s">
        <v>41</v>
      </c>
      <c r="G57" s="63" t="s">
        <v>42</v>
      </c>
      <c r="H57" s="64" t="s">
        <v>43</v>
      </c>
      <c r="I57" s="65" t="s">
        <v>44</v>
      </c>
      <c r="J57" s="163"/>
      <c r="K57" s="15"/>
    </row>
    <row r="58" spans="1:12">
      <c r="A58" s="24"/>
      <c r="B58" s="25"/>
      <c r="C58" s="25"/>
      <c r="D58" s="25"/>
      <c r="E58" s="25"/>
      <c r="F58" s="66"/>
      <c r="G58" s="128"/>
      <c r="H58" s="66"/>
      <c r="I58" s="25"/>
      <c r="J58" s="163"/>
      <c r="K58" s="15"/>
    </row>
    <row r="59" spans="1:12">
      <c r="A59" s="74"/>
      <c r="B59" s="76" t="s">
        <v>45</v>
      </c>
      <c r="C59" s="76">
        <v>1</v>
      </c>
      <c r="D59" s="77" t="s">
        <v>74</v>
      </c>
      <c r="E59" s="78"/>
      <c r="F59" s="79"/>
      <c r="G59" s="79"/>
      <c r="H59" s="80">
        <f>SUM(H60:H154)</f>
        <v>0</v>
      </c>
      <c r="I59" s="25"/>
      <c r="J59" s="163"/>
      <c r="K59" s="15"/>
    </row>
    <row r="60" spans="1:12" ht="24">
      <c r="A60" s="81">
        <v>1</v>
      </c>
      <c r="B60" s="81" t="s">
        <v>46</v>
      </c>
      <c r="C60" s="85">
        <v>113106221</v>
      </c>
      <c r="D60" s="149" t="s">
        <v>338</v>
      </c>
      <c r="E60" s="150" t="s">
        <v>52</v>
      </c>
      <c r="F60" s="151">
        <v>93.74</v>
      </c>
      <c r="G60" s="205"/>
      <c r="H60" s="201">
        <f>F60*G60</f>
        <v>0</v>
      </c>
      <c r="I60" s="383" t="s">
        <v>58</v>
      </c>
      <c r="J60" s="163">
        <v>0.32</v>
      </c>
      <c r="K60" s="15">
        <f>F60*J60</f>
        <v>29.997</v>
      </c>
    </row>
    <row r="61" spans="1:12" outlineLevel="1">
      <c r="A61" s="74"/>
      <c r="B61" s="114" t="s">
        <v>49</v>
      </c>
      <c r="C61" s="74"/>
      <c r="D61" s="115" t="s">
        <v>315</v>
      </c>
      <c r="E61" s="73"/>
      <c r="F61" s="141">
        <v>104</v>
      </c>
      <c r="G61" s="79"/>
      <c r="H61" s="80"/>
      <c r="I61" s="25"/>
      <c r="J61" s="163"/>
      <c r="K61" s="15"/>
    </row>
    <row r="62" spans="1:12" outlineLevel="1">
      <c r="A62" s="74"/>
      <c r="B62" s="114" t="s">
        <v>49</v>
      </c>
      <c r="C62" s="74"/>
      <c r="D62" s="115" t="s">
        <v>316</v>
      </c>
      <c r="E62" s="73"/>
      <c r="F62" s="141"/>
      <c r="G62" s="79"/>
      <c r="H62" s="80"/>
      <c r="I62" s="25"/>
      <c r="J62" s="163"/>
      <c r="K62" s="15"/>
    </row>
    <row r="63" spans="1:12" outlineLevel="1">
      <c r="A63" s="74"/>
      <c r="B63" s="114" t="s">
        <v>49</v>
      </c>
      <c r="C63" s="74"/>
      <c r="D63" s="379" t="s">
        <v>318</v>
      </c>
      <c r="E63" s="73"/>
      <c r="F63" s="379">
        <f>-(8.9+8.7+9.7+8.4+7.7+7.9)*0.2</f>
        <v>-10.26</v>
      </c>
      <c r="G63" s="79"/>
      <c r="H63" s="80"/>
      <c r="I63" s="25"/>
      <c r="J63" s="163"/>
      <c r="K63" s="15"/>
    </row>
    <row r="64" spans="1:12" outlineLevel="1">
      <c r="A64" s="74"/>
      <c r="B64" s="114" t="s">
        <v>49</v>
      </c>
      <c r="C64" s="74"/>
      <c r="D64" s="380" t="s">
        <v>50</v>
      </c>
      <c r="E64" s="381"/>
      <c r="F64" s="147">
        <f>SUM(F61:F63)</f>
        <v>93.74</v>
      </c>
      <c r="G64" s="79"/>
      <c r="H64" s="80"/>
      <c r="I64" s="25"/>
      <c r="J64" s="163"/>
      <c r="K64" s="15"/>
    </row>
    <row r="65" spans="1:11">
      <c r="A65" s="74"/>
      <c r="B65" s="76"/>
      <c r="C65" s="76"/>
      <c r="D65" s="77"/>
      <c r="E65" s="78"/>
      <c r="F65" s="79"/>
      <c r="G65" s="79"/>
      <c r="H65" s="80"/>
      <c r="I65" s="25"/>
      <c r="J65" s="163"/>
      <c r="K65" s="15"/>
    </row>
    <row r="66" spans="1:11">
      <c r="A66" s="108">
        <v>2</v>
      </c>
      <c r="B66" s="108" t="s">
        <v>46</v>
      </c>
      <c r="C66" s="108">
        <v>113203111</v>
      </c>
      <c r="D66" s="109" t="s">
        <v>322</v>
      </c>
      <c r="E66" s="110" t="s">
        <v>47</v>
      </c>
      <c r="F66" s="111">
        <v>102.6</v>
      </c>
      <c r="G66" s="209"/>
      <c r="H66" s="201">
        <f>F66*G66</f>
        <v>0</v>
      </c>
      <c r="I66" s="170" t="s">
        <v>58</v>
      </c>
      <c r="J66" s="163">
        <v>0.115</v>
      </c>
      <c r="K66" s="15">
        <f>F66*J66</f>
        <v>11.798999999999999</v>
      </c>
    </row>
    <row r="67" spans="1:11" outlineLevel="1">
      <c r="A67" s="74"/>
      <c r="B67" s="114" t="s">
        <v>49</v>
      </c>
      <c r="C67" s="74"/>
      <c r="D67" s="330" t="s">
        <v>320</v>
      </c>
      <c r="E67" s="54"/>
      <c r="F67" s="141">
        <f>(8.9+8.7+9.7+8.4+7.7+7.9)*2</f>
        <v>102.6</v>
      </c>
      <c r="G67" s="202"/>
      <c r="H67" s="75"/>
      <c r="I67" s="25"/>
      <c r="J67" s="163"/>
      <c r="K67" s="15"/>
    </row>
    <row r="68" spans="1:11">
      <c r="A68" s="74"/>
      <c r="B68" s="74"/>
      <c r="C68" s="74"/>
      <c r="D68" s="53"/>
      <c r="E68" s="54"/>
      <c r="F68" s="55"/>
      <c r="G68" s="202"/>
      <c r="H68" s="75"/>
      <c r="I68" s="25"/>
      <c r="J68" s="163"/>
      <c r="K68" s="15"/>
    </row>
    <row r="69" spans="1:11" ht="24">
      <c r="A69" s="108">
        <v>3</v>
      </c>
      <c r="B69" s="108" t="s">
        <v>46</v>
      </c>
      <c r="C69" s="108">
        <v>966008221</v>
      </c>
      <c r="D69" s="109" t="s">
        <v>323</v>
      </c>
      <c r="E69" s="110" t="s">
        <v>47</v>
      </c>
      <c r="F69" s="111">
        <v>10.199999999999999</v>
      </c>
      <c r="G69" s="209"/>
      <c r="H69" s="201">
        <f>F69*G69</f>
        <v>0</v>
      </c>
      <c r="I69" s="170" t="s">
        <v>58</v>
      </c>
      <c r="J69" s="163">
        <v>0.9</v>
      </c>
      <c r="K69" s="15">
        <f>F69*J69</f>
        <v>9.18</v>
      </c>
    </row>
    <row r="70" spans="1:11" outlineLevel="1">
      <c r="A70" s="74"/>
      <c r="B70" s="114" t="s">
        <v>49</v>
      </c>
      <c r="C70" s="74"/>
      <c r="D70" s="330" t="s">
        <v>324</v>
      </c>
      <c r="E70" s="54"/>
      <c r="F70" s="141">
        <v>10.199999999999999</v>
      </c>
      <c r="G70" s="202"/>
      <c r="H70" s="75"/>
      <c r="I70" s="25"/>
      <c r="J70" s="163"/>
      <c r="K70" s="15"/>
    </row>
    <row r="71" spans="1:11">
      <c r="A71" s="74"/>
      <c r="B71" s="74"/>
      <c r="C71" s="74"/>
      <c r="D71" s="53"/>
      <c r="E71" s="54"/>
      <c r="F71" s="55"/>
      <c r="G71" s="202"/>
      <c r="H71" s="75"/>
      <c r="I71" s="25"/>
      <c r="J71" s="163"/>
      <c r="K71" s="15"/>
    </row>
    <row r="72" spans="1:11">
      <c r="A72" s="108">
        <v>4</v>
      </c>
      <c r="B72" s="108" t="s">
        <v>46</v>
      </c>
      <c r="C72" s="108">
        <v>997221551</v>
      </c>
      <c r="D72" s="109" t="s">
        <v>330</v>
      </c>
      <c r="E72" s="110" t="s">
        <v>53</v>
      </c>
      <c r="F72" s="384">
        <v>7.4969999999999999</v>
      </c>
      <c r="G72" s="209"/>
      <c r="H72" s="201">
        <f>F72*G72</f>
        <v>0</v>
      </c>
      <c r="I72" s="170" t="s">
        <v>58</v>
      </c>
      <c r="J72" s="163"/>
      <c r="K72" s="15"/>
    </row>
    <row r="73" spans="1:11" outlineLevel="1">
      <c r="A73" s="74"/>
      <c r="B73" s="114" t="s">
        <v>49</v>
      </c>
      <c r="C73" s="114"/>
      <c r="D73" s="115" t="s">
        <v>331</v>
      </c>
      <c r="E73" s="116"/>
      <c r="F73" s="120"/>
      <c r="G73" s="217"/>
      <c r="H73" s="388"/>
      <c r="I73" s="219"/>
      <c r="J73" s="163"/>
      <c r="K73" s="15"/>
    </row>
    <row r="74" spans="1:11" outlineLevel="1">
      <c r="A74" s="74"/>
      <c r="B74" s="114" t="s">
        <v>49</v>
      </c>
      <c r="C74" s="114"/>
      <c r="D74" s="115" t="s">
        <v>332</v>
      </c>
      <c r="E74" s="116"/>
      <c r="F74" s="120">
        <f>93.74*0.32</f>
        <v>29.997</v>
      </c>
      <c r="G74" s="217"/>
      <c r="H74" s="388"/>
      <c r="I74" s="219"/>
      <c r="J74" s="163"/>
      <c r="K74" s="15"/>
    </row>
    <row r="75" spans="1:11" outlineLevel="1">
      <c r="A75" s="74"/>
      <c r="B75" s="114" t="s">
        <v>49</v>
      </c>
      <c r="C75" s="114"/>
      <c r="D75" s="115" t="s">
        <v>333</v>
      </c>
      <c r="E75" s="116"/>
      <c r="F75" s="120"/>
      <c r="G75" s="217"/>
      <c r="H75" s="388"/>
      <c r="I75" s="219"/>
      <c r="J75" s="163"/>
      <c r="K75" s="15"/>
    </row>
    <row r="76" spans="1:11" outlineLevel="1">
      <c r="A76" s="74"/>
      <c r="B76" s="114" t="s">
        <v>49</v>
      </c>
      <c r="C76" s="114"/>
      <c r="D76" s="115" t="s">
        <v>327</v>
      </c>
      <c r="E76" s="116"/>
      <c r="F76" s="120"/>
      <c r="G76" s="217"/>
      <c r="H76" s="388"/>
      <c r="I76" s="219"/>
      <c r="J76" s="163"/>
      <c r="K76" s="15"/>
    </row>
    <row r="77" spans="1:11" outlineLevel="1">
      <c r="A77" s="74"/>
      <c r="B77" s="114" t="s">
        <v>49</v>
      </c>
      <c r="C77" s="114"/>
      <c r="D77" s="360" t="s">
        <v>334</v>
      </c>
      <c r="E77" s="116"/>
      <c r="F77" s="117">
        <f>-93.74*0.24</f>
        <v>-22.5</v>
      </c>
      <c r="G77" s="217"/>
      <c r="H77" s="388"/>
      <c r="I77" s="219"/>
      <c r="J77" s="163"/>
      <c r="K77" s="15"/>
    </row>
    <row r="78" spans="1:11" outlineLevel="1">
      <c r="A78" s="74"/>
      <c r="B78" s="114" t="s">
        <v>49</v>
      </c>
      <c r="C78" s="114"/>
      <c r="D78" s="159" t="s">
        <v>50</v>
      </c>
      <c r="E78" s="160"/>
      <c r="F78" s="389">
        <f>SUM(F74:F77)</f>
        <v>7.4969999999999999</v>
      </c>
      <c r="G78" s="202"/>
      <c r="H78" s="75"/>
      <c r="I78" s="25"/>
      <c r="J78" s="163"/>
      <c r="K78" s="15"/>
    </row>
    <row r="79" spans="1:11">
      <c r="A79" s="74"/>
      <c r="B79" s="114"/>
      <c r="C79" s="114"/>
      <c r="D79" s="115"/>
      <c r="E79" s="116"/>
      <c r="F79" s="120"/>
      <c r="G79" s="202"/>
      <c r="H79" s="75"/>
      <c r="I79" s="25"/>
      <c r="J79" s="163"/>
      <c r="K79" s="15"/>
    </row>
    <row r="80" spans="1:11">
      <c r="A80" s="108">
        <v>5</v>
      </c>
      <c r="B80" s="108" t="s">
        <v>46</v>
      </c>
      <c r="C80" s="108">
        <v>997221559</v>
      </c>
      <c r="D80" s="109" t="s">
        <v>335</v>
      </c>
      <c r="E80" s="110" t="s">
        <v>53</v>
      </c>
      <c r="F80" s="384">
        <v>142.44300000000001</v>
      </c>
      <c r="G80" s="209"/>
      <c r="H80" s="201">
        <f>F80*G80</f>
        <v>0</v>
      </c>
      <c r="I80" s="170" t="s">
        <v>58</v>
      </c>
      <c r="J80" s="163"/>
      <c r="K80" s="15"/>
    </row>
    <row r="81" spans="1:11" outlineLevel="1">
      <c r="A81" s="74"/>
      <c r="B81" s="114" t="s">
        <v>49</v>
      </c>
      <c r="C81" s="114"/>
      <c r="D81" s="115" t="s">
        <v>336</v>
      </c>
      <c r="E81" s="116"/>
      <c r="F81" s="120">
        <f>7.497*(20-1)</f>
        <v>142.44300000000001</v>
      </c>
      <c r="G81" s="202"/>
      <c r="H81" s="75"/>
      <c r="I81" s="25"/>
      <c r="J81" s="163"/>
      <c r="K81" s="15"/>
    </row>
    <row r="82" spans="1:11">
      <c r="A82" s="74"/>
      <c r="B82" s="74"/>
      <c r="C82" s="74"/>
      <c r="D82" s="53"/>
      <c r="E82" s="54"/>
      <c r="F82" s="55"/>
      <c r="G82" s="202"/>
      <c r="H82" s="75"/>
      <c r="I82" s="25"/>
      <c r="J82" s="163"/>
      <c r="K82" s="15"/>
    </row>
    <row r="83" spans="1:11">
      <c r="A83" s="108">
        <v>6</v>
      </c>
      <c r="B83" s="108" t="s">
        <v>46</v>
      </c>
      <c r="C83" s="108">
        <v>997221571</v>
      </c>
      <c r="D83" s="109" t="s">
        <v>321</v>
      </c>
      <c r="E83" s="110" t="s">
        <v>53</v>
      </c>
      <c r="F83" s="384">
        <v>18.516999999999999</v>
      </c>
      <c r="G83" s="209"/>
      <c r="H83" s="201">
        <f>F83*G83</f>
        <v>0</v>
      </c>
      <c r="I83" s="170" t="s">
        <v>58</v>
      </c>
      <c r="J83" s="163"/>
      <c r="K83" s="15"/>
    </row>
    <row r="84" spans="1:11" outlineLevel="1">
      <c r="A84" s="74"/>
      <c r="B84" s="114" t="s">
        <v>49</v>
      </c>
      <c r="C84" s="74"/>
      <c r="D84" s="115" t="s">
        <v>337</v>
      </c>
      <c r="E84" s="54"/>
      <c r="F84" s="385"/>
      <c r="G84" s="202"/>
      <c r="H84" s="211"/>
      <c r="I84" s="25"/>
      <c r="J84" s="163"/>
      <c r="K84" s="15"/>
    </row>
    <row r="85" spans="1:11" outlineLevel="1">
      <c r="A85" s="74"/>
      <c r="B85" s="114" t="s">
        <v>49</v>
      </c>
      <c r="C85" s="114"/>
      <c r="D85" s="115" t="s">
        <v>325</v>
      </c>
      <c r="E85" s="116"/>
      <c r="F85" s="120">
        <f>102.6*0.115 +10.2*0.9</f>
        <v>20.978999999999999</v>
      </c>
      <c r="G85" s="202"/>
      <c r="H85" s="75"/>
      <c r="I85" s="25"/>
      <c r="J85" s="163"/>
      <c r="K85" s="15"/>
    </row>
    <row r="86" spans="1:11" outlineLevel="1">
      <c r="A86" s="74"/>
      <c r="B86" s="114" t="s">
        <v>49</v>
      </c>
      <c r="C86" s="114"/>
      <c r="D86" s="115" t="s">
        <v>326</v>
      </c>
      <c r="E86" s="116"/>
      <c r="F86" s="116"/>
      <c r="G86" s="202"/>
      <c r="H86" s="75"/>
      <c r="I86" s="25"/>
      <c r="J86" s="163"/>
      <c r="K86" s="15"/>
    </row>
    <row r="87" spans="1:11" outlineLevel="1">
      <c r="A87" s="74"/>
      <c r="B87" s="114" t="s">
        <v>329</v>
      </c>
      <c r="C87" s="114"/>
      <c r="D87" s="115" t="s">
        <v>327</v>
      </c>
      <c r="E87" s="116"/>
      <c r="F87" s="116"/>
      <c r="G87" s="202"/>
      <c r="H87" s="75"/>
      <c r="I87" s="25"/>
      <c r="J87" s="163"/>
      <c r="K87" s="15"/>
    </row>
    <row r="88" spans="1:11" outlineLevel="1">
      <c r="A88" s="74"/>
      <c r="B88" s="114" t="s">
        <v>329</v>
      </c>
      <c r="C88" s="114"/>
      <c r="D88" s="379" t="s">
        <v>328</v>
      </c>
      <c r="E88" s="116"/>
      <c r="F88" s="386">
        <f>-(8.9+8.7+9.7+8.4+7.7+7.9)*0.2*0.24</f>
        <v>-2.4620000000000002</v>
      </c>
      <c r="G88" s="202"/>
      <c r="H88" s="75"/>
      <c r="I88" s="25"/>
      <c r="J88" s="163"/>
      <c r="K88" s="15"/>
    </row>
    <row r="89" spans="1:11" outlineLevel="1">
      <c r="A89" s="74"/>
      <c r="B89" s="114" t="s">
        <v>329</v>
      </c>
      <c r="C89" s="114"/>
      <c r="D89" s="380" t="s">
        <v>50</v>
      </c>
      <c r="E89" s="160"/>
      <c r="F89" s="387">
        <f>SUM(F85:F88)</f>
        <v>18.516999999999999</v>
      </c>
      <c r="G89" s="202"/>
      <c r="H89" s="75"/>
      <c r="I89" s="25"/>
      <c r="J89" s="163"/>
      <c r="K89" s="15"/>
    </row>
    <row r="90" spans="1:11">
      <c r="A90" s="74"/>
      <c r="B90" s="114"/>
      <c r="C90" s="114"/>
      <c r="D90" s="379"/>
      <c r="E90" s="116"/>
      <c r="F90" s="386"/>
      <c r="G90" s="202"/>
      <c r="H90" s="75"/>
      <c r="I90" s="25"/>
      <c r="J90" s="163"/>
      <c r="K90" s="15"/>
    </row>
    <row r="91" spans="1:11">
      <c r="A91" s="108">
        <v>7</v>
      </c>
      <c r="B91" s="108" t="s">
        <v>46</v>
      </c>
      <c r="C91" s="108">
        <v>997221579</v>
      </c>
      <c r="D91" s="109" t="s">
        <v>339</v>
      </c>
      <c r="E91" s="110" t="s">
        <v>53</v>
      </c>
      <c r="F91" s="384">
        <v>351.82299999999998</v>
      </c>
      <c r="G91" s="209"/>
      <c r="H91" s="201">
        <f>F91*G91</f>
        <v>0</v>
      </c>
      <c r="I91" s="170" t="s">
        <v>58</v>
      </c>
      <c r="J91" s="163"/>
      <c r="K91" s="15"/>
    </row>
    <row r="92" spans="1:11" outlineLevel="1">
      <c r="A92" s="74"/>
      <c r="B92" s="114" t="s">
        <v>49</v>
      </c>
      <c r="C92" s="76"/>
      <c r="D92" s="390" t="s">
        <v>340</v>
      </c>
      <c r="E92" s="78"/>
      <c r="F92" s="391">
        <f>18.517*(20-1)</f>
        <v>351.82299999999998</v>
      </c>
      <c r="G92" s="79"/>
      <c r="H92" s="80"/>
      <c r="I92" s="25"/>
      <c r="J92" s="163"/>
      <c r="K92" s="15"/>
    </row>
    <row r="93" spans="1:11">
      <c r="A93" s="74"/>
      <c r="B93" s="76"/>
      <c r="C93" s="76"/>
      <c r="D93" s="77"/>
      <c r="E93" s="78"/>
      <c r="F93" s="79"/>
      <c r="G93" s="79"/>
      <c r="H93" s="80"/>
      <c r="I93" s="25"/>
      <c r="J93" s="163"/>
      <c r="K93" s="15"/>
    </row>
    <row r="94" spans="1:11">
      <c r="A94" s="108">
        <v>8</v>
      </c>
      <c r="B94" s="108" t="s">
        <v>46</v>
      </c>
      <c r="C94" s="108">
        <v>997221815</v>
      </c>
      <c r="D94" s="109" t="s">
        <v>370</v>
      </c>
      <c r="E94" s="110" t="s">
        <v>53</v>
      </c>
      <c r="F94" s="384">
        <v>18.516999999999999</v>
      </c>
      <c r="G94" s="209"/>
      <c r="H94" s="201">
        <f>F94*G94</f>
        <v>0</v>
      </c>
      <c r="I94" s="170" t="s">
        <v>58</v>
      </c>
      <c r="J94" s="163"/>
      <c r="K94" s="15"/>
    </row>
    <row r="95" spans="1:11" outlineLevel="1">
      <c r="A95" s="74"/>
      <c r="B95" s="148" t="s">
        <v>49</v>
      </c>
      <c r="C95" s="74"/>
      <c r="D95" s="115" t="s">
        <v>137</v>
      </c>
      <c r="E95" s="54"/>
      <c r="F95" s="120">
        <v>18.516999999999999</v>
      </c>
      <c r="G95" s="202"/>
      <c r="H95" s="211"/>
      <c r="I95" s="25"/>
      <c r="J95" s="163"/>
      <c r="K95" s="15"/>
    </row>
    <row r="96" spans="1:11">
      <c r="A96" s="74"/>
      <c r="B96" s="76"/>
      <c r="C96" s="76"/>
      <c r="D96" s="77"/>
      <c r="E96" s="78"/>
      <c r="F96" s="79"/>
      <c r="G96" s="79"/>
      <c r="H96" s="80"/>
      <c r="I96" s="25"/>
      <c r="J96" s="163"/>
      <c r="K96" s="15"/>
    </row>
    <row r="97" spans="1:11">
      <c r="A97" s="108">
        <v>9</v>
      </c>
      <c r="B97" s="108" t="s">
        <v>46</v>
      </c>
      <c r="C97" s="108">
        <v>997221855</v>
      </c>
      <c r="D97" s="109" t="s">
        <v>371</v>
      </c>
      <c r="E97" s="110" t="s">
        <v>53</v>
      </c>
      <c r="F97" s="384">
        <v>7.4969999999999999</v>
      </c>
      <c r="G97" s="209"/>
      <c r="H97" s="201">
        <f>F97*G97</f>
        <v>0</v>
      </c>
      <c r="I97" s="170" t="s">
        <v>58</v>
      </c>
      <c r="J97" s="163"/>
      <c r="K97" s="15"/>
    </row>
    <row r="98" spans="1:11" outlineLevel="1">
      <c r="A98" s="74"/>
      <c r="B98" s="148" t="s">
        <v>49</v>
      </c>
      <c r="C98" s="76"/>
      <c r="D98" s="115" t="s">
        <v>84</v>
      </c>
      <c r="E98" s="78"/>
      <c r="F98" s="120">
        <v>7.4969999999999999</v>
      </c>
      <c r="G98" s="79"/>
      <c r="H98" s="80"/>
      <c r="I98" s="25"/>
      <c r="J98" s="163"/>
      <c r="K98" s="15"/>
    </row>
    <row r="99" spans="1:11">
      <c r="A99" s="74"/>
      <c r="B99" s="76"/>
      <c r="C99" s="76"/>
      <c r="D99" s="77"/>
      <c r="E99" s="78"/>
      <c r="F99" s="79"/>
      <c r="G99" s="79"/>
      <c r="H99" s="80"/>
      <c r="I99" s="25"/>
      <c r="J99" s="163"/>
      <c r="K99" s="15"/>
    </row>
    <row r="100" spans="1:11" ht="24">
      <c r="A100" s="108">
        <v>10</v>
      </c>
      <c r="B100" s="108" t="s">
        <v>46</v>
      </c>
      <c r="C100" s="108">
        <v>131101101</v>
      </c>
      <c r="D100" s="399" t="s">
        <v>360</v>
      </c>
      <c r="E100" s="110" t="s">
        <v>51</v>
      </c>
      <c r="F100" s="111">
        <v>20.81</v>
      </c>
      <c r="G100" s="209"/>
      <c r="H100" s="201">
        <f>F100*G100</f>
        <v>0</v>
      </c>
      <c r="I100" s="170" t="s">
        <v>58</v>
      </c>
      <c r="J100" s="163"/>
      <c r="K100" s="15"/>
    </row>
    <row r="101" spans="1:11" outlineLevel="1">
      <c r="A101" s="114"/>
      <c r="B101" s="114" t="s">
        <v>49</v>
      </c>
      <c r="C101" s="114"/>
      <c r="D101" s="390" t="s">
        <v>347</v>
      </c>
      <c r="E101" s="116"/>
      <c r="F101" s="117"/>
      <c r="G101" s="392"/>
      <c r="H101" s="400"/>
      <c r="I101" s="25"/>
      <c r="J101" s="163"/>
      <c r="K101" s="15"/>
    </row>
    <row r="102" spans="1:11" outlineLevel="1">
      <c r="A102" s="114"/>
      <c r="B102" s="114" t="s">
        <v>49</v>
      </c>
      <c r="C102" s="114"/>
      <c r="D102" s="115" t="s">
        <v>341</v>
      </c>
      <c r="E102" s="116"/>
      <c r="F102" s="117"/>
      <c r="G102" s="392"/>
      <c r="H102" s="400"/>
      <c r="I102" s="25"/>
      <c r="J102" s="163"/>
      <c r="K102" s="15"/>
    </row>
    <row r="103" spans="1:11" outlineLevel="1">
      <c r="A103" s="114"/>
      <c r="B103" s="114" t="s">
        <v>49</v>
      </c>
      <c r="C103" s="114"/>
      <c r="D103" s="115" t="s">
        <v>342</v>
      </c>
      <c r="E103" s="116"/>
      <c r="F103" s="117">
        <f>104.2*0.35</f>
        <v>36.47</v>
      </c>
      <c r="G103" s="392"/>
      <c r="H103" s="400"/>
      <c r="I103" s="25"/>
      <c r="J103" s="163"/>
      <c r="K103" s="15"/>
    </row>
    <row r="104" spans="1:11" outlineLevel="1">
      <c r="A104" s="114"/>
      <c r="B104" s="114" t="s">
        <v>49</v>
      </c>
      <c r="C104" s="114"/>
      <c r="D104" s="115" t="s">
        <v>343</v>
      </c>
      <c r="E104" s="116"/>
      <c r="F104" s="117"/>
      <c r="G104" s="392"/>
      <c r="H104" s="400"/>
      <c r="I104" s="25"/>
      <c r="J104" s="163"/>
      <c r="K104" s="15"/>
    </row>
    <row r="105" spans="1:11" outlineLevel="1">
      <c r="A105" s="114"/>
      <c r="B105" s="114" t="s">
        <v>49</v>
      </c>
      <c r="C105" s="114"/>
      <c r="D105" s="360" t="s">
        <v>344</v>
      </c>
      <c r="E105" s="116"/>
      <c r="F105" s="117">
        <f>-93.74*(0.1+0.07)</f>
        <v>-15.94</v>
      </c>
      <c r="G105" s="392"/>
      <c r="H105" s="400"/>
      <c r="I105" s="25"/>
      <c r="J105" s="163"/>
      <c r="K105" s="15"/>
    </row>
    <row r="106" spans="1:11" outlineLevel="1">
      <c r="A106" s="114"/>
      <c r="B106" s="114" t="s">
        <v>49</v>
      </c>
      <c r="C106" s="114"/>
      <c r="D106" s="115" t="s">
        <v>345</v>
      </c>
      <c r="E106" s="116"/>
      <c r="F106" s="117"/>
      <c r="G106" s="392"/>
      <c r="H106" s="400"/>
      <c r="I106" s="25"/>
      <c r="J106" s="163"/>
      <c r="K106" s="15"/>
    </row>
    <row r="107" spans="1:11" outlineLevel="1">
      <c r="A107" s="114"/>
      <c r="B107" s="114" t="s">
        <v>49</v>
      </c>
      <c r="C107" s="114"/>
      <c r="D107" s="379" t="s">
        <v>346</v>
      </c>
      <c r="E107" s="116"/>
      <c r="F107" s="393">
        <f>-(8.9+8.7+9.7+8.4+7.7+7.9)*0.2*0.35</f>
        <v>-3.59</v>
      </c>
      <c r="G107" s="392"/>
      <c r="H107" s="400"/>
      <c r="I107" s="25"/>
      <c r="J107" s="163"/>
      <c r="K107" s="15"/>
    </row>
    <row r="108" spans="1:11" outlineLevel="1">
      <c r="A108" s="114"/>
      <c r="B108" s="114" t="s">
        <v>49</v>
      </c>
      <c r="C108" s="114"/>
      <c r="D108" s="115" t="s">
        <v>348</v>
      </c>
      <c r="E108" s="116"/>
      <c r="F108" s="117"/>
      <c r="G108" s="392"/>
      <c r="H108" s="400"/>
      <c r="I108" s="25"/>
      <c r="J108" s="163"/>
      <c r="K108" s="15"/>
    </row>
    <row r="109" spans="1:11" outlineLevel="1">
      <c r="A109" s="114"/>
      <c r="B109" s="114" t="s">
        <v>49</v>
      </c>
      <c r="C109" s="114"/>
      <c r="D109" s="360" t="s">
        <v>359</v>
      </c>
      <c r="E109" s="116"/>
      <c r="F109" s="117">
        <f>-(3.85*0.65+0.945*0.3)*(0.35-0.2)</f>
        <v>-0.42</v>
      </c>
      <c r="G109" s="392"/>
      <c r="H109" s="400"/>
      <c r="I109" s="25"/>
      <c r="J109" s="163"/>
      <c r="K109" s="15"/>
    </row>
    <row r="110" spans="1:11" outlineLevel="1">
      <c r="A110" s="114"/>
      <c r="B110" s="114" t="s">
        <v>49</v>
      </c>
      <c r="C110" s="114"/>
      <c r="D110" s="115" t="s">
        <v>356</v>
      </c>
      <c r="E110" s="116"/>
      <c r="F110" s="117"/>
      <c r="G110" s="392"/>
      <c r="H110" s="400"/>
      <c r="I110" s="25"/>
      <c r="J110" s="163"/>
      <c r="K110" s="15"/>
    </row>
    <row r="111" spans="1:11" outlineLevel="1">
      <c r="A111" s="114"/>
      <c r="B111" s="114" t="s">
        <v>49</v>
      </c>
      <c r="C111" s="114"/>
      <c r="D111" s="360" t="s">
        <v>349</v>
      </c>
      <c r="E111" s="116"/>
      <c r="F111" s="117">
        <f>-3.14*0.3*0.3*(0.35-0.3)</f>
        <v>-0.01</v>
      </c>
      <c r="G111" s="392"/>
      <c r="H111" s="400"/>
      <c r="I111" s="25"/>
      <c r="J111" s="163"/>
      <c r="K111" s="15"/>
    </row>
    <row r="112" spans="1:11" outlineLevel="1">
      <c r="A112" s="114"/>
      <c r="B112" s="114" t="s">
        <v>49</v>
      </c>
      <c r="C112" s="114"/>
      <c r="D112" s="390" t="s">
        <v>350</v>
      </c>
      <c r="E112" s="391"/>
      <c r="F112" s="394"/>
      <c r="G112" s="392"/>
      <c r="H112" s="400"/>
      <c r="I112" s="25"/>
      <c r="J112" s="163"/>
      <c r="K112" s="15"/>
    </row>
    <row r="113" spans="1:11" outlineLevel="1">
      <c r="A113" s="74"/>
      <c r="B113" s="114" t="s">
        <v>49</v>
      </c>
      <c r="C113" s="401"/>
      <c r="D113" s="395" t="s">
        <v>353</v>
      </c>
      <c r="E113" s="391"/>
      <c r="F113" s="394">
        <f>-10.2*0.1*0.1</f>
        <v>-0.1</v>
      </c>
      <c r="G113" s="392"/>
      <c r="H113" s="400"/>
      <c r="I113" s="25"/>
      <c r="J113" s="163"/>
      <c r="K113" s="15"/>
    </row>
    <row r="114" spans="1:11" outlineLevel="1">
      <c r="A114" s="74"/>
      <c r="B114" s="114" t="s">
        <v>49</v>
      </c>
      <c r="C114" s="401"/>
      <c r="D114" s="390" t="s">
        <v>351</v>
      </c>
      <c r="E114" s="391"/>
      <c r="F114" s="394"/>
      <c r="G114" s="392"/>
      <c r="H114" s="400"/>
      <c r="I114" s="25"/>
      <c r="J114" s="163"/>
      <c r="K114" s="15"/>
    </row>
    <row r="115" spans="1:11" outlineLevel="1">
      <c r="A115" s="74"/>
      <c r="B115" s="114" t="s">
        <v>49</v>
      </c>
      <c r="C115" s="401"/>
      <c r="D115" s="390" t="s">
        <v>352</v>
      </c>
      <c r="E115" s="391"/>
      <c r="F115" s="394">
        <f>((3.07+1.1)*0.5*4.98+1.1*0.4*0.5)*(0.65-0.35)</f>
        <v>3.18</v>
      </c>
      <c r="G115" s="392"/>
      <c r="H115" s="400"/>
      <c r="I115" s="25"/>
      <c r="J115" s="163"/>
      <c r="K115" s="15"/>
    </row>
    <row r="116" spans="1:11" outlineLevel="1">
      <c r="A116" s="74"/>
      <c r="B116" s="114" t="s">
        <v>49</v>
      </c>
      <c r="C116" s="401"/>
      <c r="D116" s="390" t="s">
        <v>355</v>
      </c>
      <c r="E116" s="391"/>
      <c r="F116" s="394">
        <f>0.4*0.2*(0.65-0.35)</f>
        <v>0.02</v>
      </c>
      <c r="G116" s="392"/>
      <c r="H116" s="400"/>
      <c r="I116" s="25"/>
      <c r="J116" s="163"/>
      <c r="K116" s="15"/>
    </row>
    <row r="117" spans="1:11" outlineLevel="1">
      <c r="A117" s="74"/>
      <c r="B117" s="114" t="s">
        <v>49</v>
      </c>
      <c r="C117" s="401"/>
      <c r="D117" s="390" t="s">
        <v>354</v>
      </c>
      <c r="E117" s="391"/>
      <c r="F117" s="394">
        <f>((5.27+5.48)*0.5*0.5+(3.07+3.27)*0.5*0.5)*(0.65-0.35)</f>
        <v>1.28</v>
      </c>
      <c r="G117" s="392"/>
      <c r="H117" s="400"/>
      <c r="I117" s="25"/>
      <c r="J117" s="163"/>
      <c r="K117" s="15"/>
    </row>
    <row r="118" spans="1:11" outlineLevel="1">
      <c r="A118" s="74"/>
      <c r="B118" s="114" t="s">
        <v>49</v>
      </c>
      <c r="C118" s="401"/>
      <c r="D118" s="115" t="s">
        <v>357</v>
      </c>
      <c r="E118" s="391"/>
      <c r="F118" s="394"/>
      <c r="G118" s="392"/>
      <c r="H118" s="400"/>
      <c r="I118" s="25"/>
      <c r="J118" s="163"/>
      <c r="K118" s="15"/>
    </row>
    <row r="119" spans="1:11" outlineLevel="1">
      <c r="A119" s="74"/>
      <c r="B119" s="114" t="s">
        <v>49</v>
      </c>
      <c r="C119" s="401"/>
      <c r="D119" s="360" t="s">
        <v>358</v>
      </c>
      <c r="E119" s="391"/>
      <c r="F119" s="117">
        <f>-3.14*0.3*0.3*(0.65-0.35)</f>
        <v>-0.08</v>
      </c>
      <c r="G119" s="392"/>
      <c r="H119" s="400"/>
      <c r="I119" s="25"/>
      <c r="J119" s="163"/>
      <c r="K119" s="15"/>
    </row>
    <row r="120" spans="1:11" outlineLevel="1">
      <c r="A120" s="74"/>
      <c r="B120" s="114" t="s">
        <v>49</v>
      </c>
      <c r="C120" s="401"/>
      <c r="D120" s="396" t="s">
        <v>50</v>
      </c>
      <c r="E120" s="397"/>
      <c r="F120" s="398">
        <f>SUM(F103:F119)</f>
        <v>20.81</v>
      </c>
      <c r="G120" s="392"/>
      <c r="H120" s="400"/>
      <c r="I120" s="25"/>
      <c r="J120" s="163"/>
      <c r="K120" s="15"/>
    </row>
    <row r="121" spans="1:11">
      <c r="A121" s="74"/>
      <c r="B121" s="401"/>
      <c r="C121" s="401"/>
      <c r="D121" s="390"/>
      <c r="E121" s="391"/>
      <c r="F121" s="394"/>
      <c r="G121" s="392"/>
      <c r="H121" s="400"/>
      <c r="I121" s="25"/>
      <c r="J121" s="163"/>
      <c r="K121" s="15"/>
    </row>
    <row r="122" spans="1:11" ht="24">
      <c r="A122" s="108">
        <v>11</v>
      </c>
      <c r="B122" s="108" t="s">
        <v>46</v>
      </c>
      <c r="C122" s="108">
        <v>132101101</v>
      </c>
      <c r="D122" s="399" t="s">
        <v>361</v>
      </c>
      <c r="E122" s="110" t="s">
        <v>51</v>
      </c>
      <c r="F122" s="111">
        <v>1.5</v>
      </c>
      <c r="G122" s="209"/>
      <c r="H122" s="201">
        <f>F122*G122</f>
        <v>0</v>
      </c>
      <c r="I122" s="170" t="s">
        <v>58</v>
      </c>
      <c r="J122" s="163"/>
      <c r="K122" s="15"/>
    </row>
    <row r="123" spans="1:11" outlineLevel="1">
      <c r="A123" s="74"/>
      <c r="B123" s="148" t="s">
        <v>49</v>
      </c>
      <c r="C123" s="401"/>
      <c r="D123" s="390" t="s">
        <v>362</v>
      </c>
      <c r="E123" s="391"/>
      <c r="F123" s="394"/>
      <c r="G123" s="392"/>
      <c r="H123" s="400"/>
      <c r="I123" s="25"/>
      <c r="J123" s="163"/>
      <c r="K123" s="15"/>
    </row>
    <row r="124" spans="1:11" outlineLevel="1">
      <c r="A124" s="74"/>
      <c r="B124" s="148" t="s">
        <v>49</v>
      </c>
      <c r="C124" s="401"/>
      <c r="D124" s="390" t="s">
        <v>363</v>
      </c>
      <c r="E124" s="391"/>
      <c r="F124" s="117">
        <f>((5.27+5.48)*0.5*0.5+(3.07+3.27)*0.5*0.5)*(1-0.65)</f>
        <v>1.5</v>
      </c>
      <c r="G124" s="392"/>
      <c r="H124" s="400"/>
      <c r="I124" s="25"/>
      <c r="J124" s="163"/>
      <c r="K124" s="15"/>
    </row>
    <row r="125" spans="1:11">
      <c r="A125" s="74"/>
      <c r="B125" s="401"/>
      <c r="C125" s="401"/>
      <c r="D125" s="390"/>
      <c r="E125" s="391"/>
      <c r="F125" s="394"/>
      <c r="G125" s="392"/>
      <c r="H125" s="400"/>
      <c r="I125" s="25"/>
      <c r="J125" s="163"/>
      <c r="K125" s="15"/>
    </row>
    <row r="126" spans="1:11" ht="24">
      <c r="A126" s="108">
        <v>12</v>
      </c>
      <c r="B126" s="108" t="s">
        <v>46</v>
      </c>
      <c r="C126" s="108">
        <v>132101201</v>
      </c>
      <c r="D126" s="399" t="s">
        <v>364</v>
      </c>
      <c r="E126" s="110" t="s">
        <v>51</v>
      </c>
      <c r="F126" s="111">
        <v>1.95</v>
      </c>
      <c r="G126" s="209"/>
      <c r="H126" s="201">
        <f>F126*G126</f>
        <v>0</v>
      </c>
      <c r="I126" s="170" t="s">
        <v>58</v>
      </c>
      <c r="J126" s="163"/>
      <c r="K126" s="15"/>
    </row>
    <row r="127" spans="1:11" outlineLevel="1">
      <c r="A127" s="74"/>
      <c r="B127" s="148" t="s">
        <v>49</v>
      </c>
      <c r="C127" s="401"/>
      <c r="D127" s="390" t="s">
        <v>365</v>
      </c>
      <c r="E127" s="391"/>
      <c r="F127" s="394"/>
      <c r="G127" s="392"/>
      <c r="H127" s="400"/>
      <c r="I127" s="25"/>
      <c r="J127" s="163"/>
      <c r="K127" s="15"/>
    </row>
    <row r="128" spans="1:11" outlineLevel="1">
      <c r="A128" s="74"/>
      <c r="B128" s="148" t="s">
        <v>49</v>
      </c>
      <c r="C128" s="401"/>
      <c r="D128" s="390" t="s">
        <v>366</v>
      </c>
      <c r="E128" s="391"/>
      <c r="F128" s="394">
        <f>3.55*0.855*(0.85-0.35)</f>
        <v>1.52</v>
      </c>
      <c r="G128" s="392"/>
      <c r="H128" s="400"/>
      <c r="I128" s="25"/>
      <c r="J128" s="163"/>
      <c r="K128" s="15"/>
    </row>
    <row r="129" spans="1:11" outlineLevel="1">
      <c r="A129" s="74"/>
      <c r="B129" s="148" t="s">
        <v>49</v>
      </c>
      <c r="C129" s="401"/>
      <c r="D129" s="390" t="s">
        <v>367</v>
      </c>
      <c r="E129" s="391"/>
      <c r="F129" s="394"/>
      <c r="G129" s="392"/>
      <c r="H129" s="400"/>
      <c r="I129" s="25"/>
      <c r="J129" s="163"/>
      <c r="K129" s="15"/>
    </row>
    <row r="130" spans="1:11" outlineLevel="1">
      <c r="A130" s="74"/>
      <c r="B130" s="148" t="s">
        <v>49</v>
      </c>
      <c r="C130" s="401"/>
      <c r="D130" s="390" t="s">
        <v>368</v>
      </c>
      <c r="E130" s="391"/>
      <c r="F130" s="394">
        <f>(0.85*1-3.14*0.3*0.3*0.25)*(1.2-0.65)</f>
        <v>0.43</v>
      </c>
      <c r="G130" s="392"/>
      <c r="H130" s="400"/>
      <c r="I130" s="25"/>
      <c r="J130" s="163"/>
      <c r="K130" s="15"/>
    </row>
    <row r="131" spans="1:11" outlineLevel="1">
      <c r="A131" s="74"/>
      <c r="B131" s="148" t="s">
        <v>49</v>
      </c>
      <c r="C131" s="401"/>
      <c r="D131" s="396" t="s">
        <v>50</v>
      </c>
      <c r="E131" s="397"/>
      <c r="F131" s="398">
        <f>SUM(F128:F130)</f>
        <v>1.95</v>
      </c>
      <c r="G131" s="392"/>
      <c r="H131" s="400"/>
      <c r="I131" s="25"/>
      <c r="J131" s="163"/>
      <c r="K131" s="15"/>
    </row>
    <row r="132" spans="1:11">
      <c r="A132" s="74"/>
      <c r="B132" s="401"/>
      <c r="C132" s="401"/>
      <c r="D132" s="390"/>
      <c r="E132" s="391"/>
      <c r="F132" s="394"/>
      <c r="G132" s="392"/>
      <c r="H132" s="400"/>
      <c r="I132" s="25"/>
      <c r="J132" s="163"/>
      <c r="K132" s="15"/>
    </row>
    <row r="133" spans="1:11">
      <c r="A133" s="207">
        <v>13</v>
      </c>
      <c r="B133" s="207" t="s">
        <v>46</v>
      </c>
      <c r="C133" s="207">
        <v>174101102</v>
      </c>
      <c r="D133" s="207" t="s">
        <v>76</v>
      </c>
      <c r="E133" s="222" t="s">
        <v>51</v>
      </c>
      <c r="F133" s="208">
        <v>0.43</v>
      </c>
      <c r="G133" s="129"/>
      <c r="H133" s="220"/>
      <c r="I133" s="69" t="s">
        <v>58</v>
      </c>
      <c r="J133" s="163"/>
      <c r="K133" s="15"/>
    </row>
    <row r="134" spans="1:11" outlineLevel="1">
      <c r="A134" s="24"/>
      <c r="B134" s="148" t="s">
        <v>49</v>
      </c>
      <c r="C134" s="24"/>
      <c r="D134" s="390" t="s">
        <v>372</v>
      </c>
      <c r="E134" s="391"/>
      <c r="F134" s="394"/>
      <c r="G134" s="55"/>
      <c r="H134" s="66"/>
      <c r="I134" s="25"/>
      <c r="J134" s="163"/>
      <c r="K134" s="15"/>
    </row>
    <row r="135" spans="1:11" outlineLevel="1">
      <c r="A135" s="24"/>
      <c r="B135" s="148" t="s">
        <v>49</v>
      </c>
      <c r="C135" s="24"/>
      <c r="D135" s="390" t="s">
        <v>368</v>
      </c>
      <c r="E135" s="391"/>
      <c r="F135" s="394">
        <f>(0.85*1-3.14*0.3*0.3*0.25)*(1.2-0.65)</f>
        <v>0.43</v>
      </c>
      <c r="G135" s="55"/>
      <c r="H135" s="66"/>
      <c r="I135" s="25"/>
      <c r="J135" s="163"/>
      <c r="K135" s="15"/>
    </row>
    <row r="136" spans="1:11">
      <c r="A136" s="148"/>
      <c r="B136" s="148"/>
      <c r="C136" s="148"/>
      <c r="D136" s="148"/>
      <c r="E136" s="219"/>
      <c r="F136" s="217"/>
      <c r="G136" s="217"/>
      <c r="H136" s="66"/>
      <c r="I136" s="25"/>
      <c r="J136" s="163"/>
      <c r="K136" s="15"/>
    </row>
    <row r="137" spans="1:11" ht="24">
      <c r="A137" s="81">
        <v>10</v>
      </c>
      <c r="B137" s="81" t="s">
        <v>46</v>
      </c>
      <c r="C137" s="81">
        <v>162201102</v>
      </c>
      <c r="D137" s="149" t="s">
        <v>77</v>
      </c>
      <c r="E137" s="150" t="s">
        <v>51</v>
      </c>
      <c r="F137" s="151">
        <v>23.87</v>
      </c>
      <c r="G137" s="129"/>
      <c r="H137" s="82">
        <f>F137*G137</f>
        <v>0</v>
      </c>
      <c r="I137" s="69" t="s">
        <v>58</v>
      </c>
      <c r="J137" s="163"/>
      <c r="K137" s="15"/>
    </row>
    <row r="138" spans="1:11" outlineLevel="1">
      <c r="A138" s="74"/>
      <c r="B138" s="148" t="s">
        <v>49</v>
      </c>
      <c r="C138" s="114"/>
      <c r="D138" s="115" t="s">
        <v>82</v>
      </c>
      <c r="E138" s="116"/>
      <c r="F138" s="117"/>
      <c r="G138" s="117"/>
      <c r="H138" s="75"/>
      <c r="I138" s="25"/>
      <c r="J138" s="163"/>
      <c r="K138" s="15"/>
    </row>
    <row r="139" spans="1:11" outlineLevel="1">
      <c r="A139" s="74"/>
      <c r="B139" s="148" t="s">
        <v>49</v>
      </c>
      <c r="C139" s="114"/>
      <c r="D139" s="115" t="s">
        <v>373</v>
      </c>
      <c r="E139" s="116"/>
      <c r="F139" s="117">
        <v>20.81</v>
      </c>
      <c r="G139" s="117"/>
      <c r="H139" s="75"/>
      <c r="I139" s="25"/>
      <c r="J139" s="163"/>
      <c r="K139" s="15"/>
    </row>
    <row r="140" spans="1:11" outlineLevel="1">
      <c r="A140" s="74"/>
      <c r="B140" s="148" t="s">
        <v>49</v>
      </c>
      <c r="C140" s="114"/>
      <c r="D140" s="115" t="s">
        <v>374</v>
      </c>
      <c r="E140" s="116"/>
      <c r="F140" s="117">
        <v>1.5</v>
      </c>
      <c r="G140" s="117"/>
      <c r="H140" s="75"/>
      <c r="I140" s="25"/>
      <c r="J140" s="163"/>
      <c r="K140" s="15"/>
    </row>
    <row r="141" spans="1:11" outlineLevel="1">
      <c r="A141" s="74"/>
      <c r="B141" s="148" t="s">
        <v>49</v>
      </c>
      <c r="C141" s="114"/>
      <c r="D141" s="115" t="s">
        <v>375</v>
      </c>
      <c r="E141" s="116"/>
      <c r="F141" s="117">
        <v>1.95</v>
      </c>
      <c r="G141" s="117"/>
      <c r="H141" s="75"/>
      <c r="I141" s="25"/>
      <c r="J141" s="163"/>
      <c r="K141" s="15"/>
    </row>
    <row r="142" spans="1:11" outlineLevel="1">
      <c r="A142" s="74"/>
      <c r="B142" s="148" t="s">
        <v>49</v>
      </c>
      <c r="C142" s="114"/>
      <c r="D142" s="115" t="s">
        <v>377</v>
      </c>
      <c r="E142" s="116"/>
      <c r="F142" s="117">
        <f>6*3.14*0.0445*0.0445</f>
        <v>0.04</v>
      </c>
      <c r="G142" s="117"/>
      <c r="H142" s="75"/>
      <c r="I142" s="25"/>
      <c r="J142" s="163"/>
      <c r="K142" s="15"/>
    </row>
    <row r="143" spans="1:11" outlineLevel="1">
      <c r="A143" s="74"/>
      <c r="B143" s="148" t="s">
        <v>49</v>
      </c>
      <c r="C143" s="114"/>
      <c r="D143" s="115" t="s">
        <v>83</v>
      </c>
      <c r="E143" s="116"/>
      <c r="F143" s="117"/>
      <c r="G143" s="117"/>
      <c r="H143" s="75"/>
      <c r="I143" s="25"/>
      <c r="J143" s="163"/>
      <c r="K143" s="15"/>
    </row>
    <row r="144" spans="1:11" outlineLevel="1">
      <c r="A144" s="74"/>
      <c r="B144" s="148" t="s">
        <v>49</v>
      </c>
      <c r="C144" s="114"/>
      <c r="D144" s="115" t="s">
        <v>376</v>
      </c>
      <c r="E144" s="116"/>
      <c r="F144" s="117">
        <v>-0.43</v>
      </c>
      <c r="G144" s="117"/>
      <c r="H144" s="75"/>
      <c r="I144" s="25"/>
      <c r="J144" s="163"/>
      <c r="K144" s="15"/>
    </row>
    <row r="145" spans="1:12" outlineLevel="1">
      <c r="A145" s="74"/>
      <c r="B145" s="148" t="s">
        <v>49</v>
      </c>
      <c r="C145" s="114"/>
      <c r="D145" s="159" t="s">
        <v>50</v>
      </c>
      <c r="E145" s="160"/>
      <c r="F145" s="167">
        <f>SUM(F139:F144)</f>
        <v>23.87</v>
      </c>
      <c r="G145" s="55"/>
      <c r="H145" s="75"/>
      <c r="I145" s="25"/>
      <c r="J145" s="163"/>
      <c r="K145" s="15"/>
    </row>
    <row r="146" spans="1:12">
      <c r="A146" s="74"/>
      <c r="B146" s="74"/>
      <c r="C146" s="74"/>
      <c r="D146" s="72"/>
      <c r="E146" s="73"/>
      <c r="F146" s="84"/>
      <c r="G146" s="55"/>
      <c r="H146" s="75"/>
      <c r="I146" s="25"/>
      <c r="J146" s="163"/>
      <c r="K146" s="15"/>
    </row>
    <row r="147" spans="1:12">
      <c r="A147" s="81">
        <v>11</v>
      </c>
      <c r="B147" s="81" t="s">
        <v>46</v>
      </c>
      <c r="C147" s="81">
        <v>162701109</v>
      </c>
      <c r="D147" s="149" t="s">
        <v>78</v>
      </c>
      <c r="E147" s="150" t="s">
        <v>51</v>
      </c>
      <c r="F147" s="151">
        <v>214.83</v>
      </c>
      <c r="G147" s="129"/>
      <c r="H147" s="82">
        <f>F147*G147</f>
        <v>0</v>
      </c>
      <c r="I147" s="69" t="s">
        <v>58</v>
      </c>
      <c r="J147" s="163"/>
      <c r="K147" s="15"/>
    </row>
    <row r="148" spans="1:12" outlineLevel="1">
      <c r="A148" s="74"/>
      <c r="B148" s="114" t="s">
        <v>49</v>
      </c>
      <c r="C148" s="114"/>
      <c r="D148" s="115" t="s">
        <v>378</v>
      </c>
      <c r="E148" s="116"/>
      <c r="F148" s="117"/>
      <c r="G148" s="55"/>
      <c r="H148" s="75"/>
      <c r="I148" s="25"/>
      <c r="J148" s="163"/>
      <c r="K148" s="15"/>
    </row>
    <row r="149" spans="1:12" outlineLevel="1">
      <c r="A149" s="74"/>
      <c r="B149" s="114" t="s">
        <v>49</v>
      </c>
      <c r="C149" s="114"/>
      <c r="D149" s="115" t="s">
        <v>379</v>
      </c>
      <c r="E149" s="116"/>
      <c r="F149" s="117">
        <f>23.87*9</f>
        <v>214.83</v>
      </c>
      <c r="G149" s="55"/>
      <c r="H149" s="75"/>
      <c r="I149" s="25"/>
      <c r="J149" s="163"/>
      <c r="K149" s="15"/>
    </row>
    <row r="150" spans="1:12">
      <c r="A150" s="74"/>
      <c r="B150" s="74"/>
      <c r="C150" s="74"/>
      <c r="D150" s="72"/>
      <c r="E150" s="73"/>
      <c r="F150" s="84"/>
      <c r="G150" s="55"/>
      <c r="H150" s="75"/>
      <c r="I150" s="25"/>
      <c r="J150" s="163"/>
      <c r="K150" s="15"/>
    </row>
    <row r="151" spans="1:12">
      <c r="A151" s="81">
        <v>12</v>
      </c>
      <c r="B151" s="81" t="s">
        <v>46</v>
      </c>
      <c r="C151" s="81">
        <v>171201201</v>
      </c>
      <c r="D151" s="149" t="s">
        <v>79</v>
      </c>
      <c r="E151" s="150" t="s">
        <v>51</v>
      </c>
      <c r="F151" s="151">
        <v>23.87</v>
      </c>
      <c r="G151" s="129"/>
      <c r="H151" s="82">
        <f>F151*G151</f>
        <v>0</v>
      </c>
      <c r="I151" s="69" t="s">
        <v>58</v>
      </c>
      <c r="J151" s="163"/>
      <c r="K151" s="15"/>
    </row>
    <row r="152" spans="1:12" outlineLevel="1">
      <c r="A152" s="74"/>
      <c r="B152" s="83" t="s">
        <v>49</v>
      </c>
      <c r="C152" s="114"/>
      <c r="D152" s="115" t="s">
        <v>85</v>
      </c>
      <c r="E152" s="116"/>
      <c r="F152" s="117">
        <v>23.87</v>
      </c>
      <c r="G152" s="55"/>
      <c r="H152" s="75"/>
      <c r="I152" s="25"/>
      <c r="J152" s="163"/>
      <c r="K152" s="15"/>
    </row>
    <row r="153" spans="1:12">
      <c r="A153" s="74"/>
      <c r="B153" s="74"/>
      <c r="C153" s="74"/>
      <c r="D153" s="72"/>
      <c r="E153" s="73"/>
      <c r="F153" s="84"/>
      <c r="G153" s="55"/>
      <c r="H153" s="75"/>
      <c r="I153" s="25"/>
      <c r="J153" s="163"/>
      <c r="K153" s="15"/>
    </row>
    <row r="154" spans="1:12">
      <c r="A154" s="81">
        <v>13</v>
      </c>
      <c r="B154" s="81" t="s">
        <v>46</v>
      </c>
      <c r="C154" s="81">
        <v>174201211</v>
      </c>
      <c r="D154" s="149" t="s">
        <v>80</v>
      </c>
      <c r="E154" s="150" t="s">
        <v>53</v>
      </c>
      <c r="F154" s="223">
        <v>47.74</v>
      </c>
      <c r="G154" s="129"/>
      <c r="H154" s="82">
        <f>F154*G154</f>
        <v>0</v>
      </c>
      <c r="I154" s="69" t="s">
        <v>58</v>
      </c>
      <c r="J154" s="15"/>
      <c r="K154" s="15"/>
    </row>
    <row r="155" spans="1:12" outlineLevel="1">
      <c r="A155" s="74"/>
      <c r="B155" s="114" t="s">
        <v>49</v>
      </c>
      <c r="C155" s="114"/>
      <c r="D155" s="115" t="s">
        <v>86</v>
      </c>
      <c r="E155" s="116"/>
      <c r="F155" s="120"/>
      <c r="G155" s="55"/>
      <c r="H155" s="75"/>
      <c r="I155" s="25"/>
      <c r="J155" s="163"/>
      <c r="K155" s="15"/>
    </row>
    <row r="156" spans="1:12" outlineLevel="1">
      <c r="A156" s="148"/>
      <c r="B156" s="148" t="s">
        <v>49</v>
      </c>
      <c r="C156" s="148"/>
      <c r="D156" s="148" t="s">
        <v>380</v>
      </c>
      <c r="E156" s="219"/>
      <c r="F156" s="224">
        <f>23.87*2</f>
        <v>47.74</v>
      </c>
      <c r="G156" s="217"/>
      <c r="H156" s="66"/>
      <c r="I156" s="25"/>
      <c r="J156" s="163"/>
      <c r="K156" s="15"/>
      <c r="L156" s="5"/>
    </row>
    <row r="157" spans="1:12">
      <c r="A157" s="24"/>
      <c r="B157" s="148"/>
      <c r="C157" s="148"/>
      <c r="D157" s="221"/>
      <c r="E157" s="148"/>
      <c r="F157" s="217"/>
      <c r="G157" s="202"/>
      <c r="H157" s="66"/>
      <c r="I157" s="25"/>
      <c r="J157" s="163"/>
      <c r="K157" s="15"/>
    </row>
    <row r="158" spans="1:12">
      <c r="A158" s="74"/>
      <c r="B158" s="76" t="s">
        <v>45</v>
      </c>
      <c r="C158" s="76">
        <v>2</v>
      </c>
      <c r="D158" s="77" t="s">
        <v>56</v>
      </c>
      <c r="E158" s="78"/>
      <c r="F158" s="79"/>
      <c r="G158" s="79"/>
      <c r="H158" s="80">
        <f>SUM(H159:H195)</f>
        <v>0</v>
      </c>
      <c r="I158" s="25"/>
    </row>
    <row r="159" spans="1:12">
      <c r="A159" s="108">
        <v>1</v>
      </c>
      <c r="B159" s="108" t="s">
        <v>46</v>
      </c>
      <c r="C159" s="108">
        <v>274313811</v>
      </c>
      <c r="D159" s="109" t="s">
        <v>396</v>
      </c>
      <c r="E159" s="110" t="s">
        <v>51</v>
      </c>
      <c r="F159" s="111">
        <v>2.13</v>
      </c>
      <c r="G159" s="136"/>
      <c r="H159" s="82">
        <f>F159*G159</f>
        <v>0</v>
      </c>
      <c r="I159" s="69" t="s">
        <v>58</v>
      </c>
    </row>
    <row r="160" spans="1:12" ht="12" customHeight="1" outlineLevel="1">
      <c r="A160" s="74"/>
      <c r="B160" s="148" t="s">
        <v>49</v>
      </c>
      <c r="C160" s="114"/>
      <c r="D160" s="390" t="s">
        <v>397</v>
      </c>
      <c r="E160" s="116"/>
      <c r="F160" s="394">
        <f>(5.27+5.48)*0.5*0.5*0.5</f>
        <v>1.34</v>
      </c>
      <c r="G160" s="409"/>
      <c r="H160" s="75"/>
      <c r="I160" s="25"/>
    </row>
    <row r="161" spans="1:9" ht="12" customHeight="1" outlineLevel="1">
      <c r="A161" s="74"/>
      <c r="B161" s="148" t="s">
        <v>49</v>
      </c>
      <c r="C161" s="114"/>
      <c r="D161" s="390" t="s">
        <v>398</v>
      </c>
      <c r="E161" s="116"/>
      <c r="F161" s="394">
        <f>(3.07+3.27)*0.5*0.5*0.5</f>
        <v>0.79</v>
      </c>
      <c r="G161" s="409"/>
      <c r="H161" s="75"/>
      <c r="I161" s="25"/>
    </row>
    <row r="162" spans="1:9" outlineLevel="1">
      <c r="A162" s="74"/>
      <c r="B162" s="148" t="s">
        <v>49</v>
      </c>
      <c r="C162" s="114"/>
      <c r="D162" s="159" t="s">
        <v>50</v>
      </c>
      <c r="E162" s="160"/>
      <c r="F162" s="167">
        <f>SUM(F160:F161)</f>
        <v>2.13</v>
      </c>
      <c r="G162" s="409"/>
      <c r="H162" s="75"/>
      <c r="I162" s="25"/>
    </row>
    <row r="163" spans="1:9">
      <c r="A163" s="74"/>
      <c r="B163" s="83"/>
      <c r="C163" s="74"/>
      <c r="D163" s="87"/>
      <c r="E163" s="73"/>
      <c r="F163" s="86"/>
      <c r="G163" s="79"/>
      <c r="H163" s="80"/>
      <c r="I163" s="25"/>
    </row>
    <row r="164" spans="1:9">
      <c r="A164" s="108">
        <v>2</v>
      </c>
      <c r="B164" s="108" t="s">
        <v>46</v>
      </c>
      <c r="C164" s="108">
        <v>273321511</v>
      </c>
      <c r="D164" s="109" t="s">
        <v>399</v>
      </c>
      <c r="E164" s="110" t="s">
        <v>51</v>
      </c>
      <c r="F164" s="111">
        <v>4.6500000000000004</v>
      </c>
      <c r="G164" s="136"/>
      <c r="H164" s="82">
        <f>F164*G164</f>
        <v>0</v>
      </c>
      <c r="I164" s="69" t="s">
        <v>58</v>
      </c>
    </row>
    <row r="165" spans="1:9" ht="12" customHeight="1" outlineLevel="1">
      <c r="A165" s="74"/>
      <c r="B165" s="114" t="s">
        <v>49</v>
      </c>
      <c r="C165" s="74"/>
      <c r="D165" s="275" t="s">
        <v>400</v>
      </c>
      <c r="E165" s="54"/>
      <c r="F165" s="277">
        <f>((3.92+1.8)*0.5*5.271+1.673*0.68*0.5+3.55*0.903+0.485*0.17*0.5)*0.25</f>
        <v>4.72</v>
      </c>
      <c r="G165" s="409"/>
      <c r="H165" s="75"/>
      <c r="I165" s="25"/>
    </row>
    <row r="166" spans="1:9" ht="12" customHeight="1" outlineLevel="1">
      <c r="A166" s="74"/>
      <c r="B166" s="114"/>
      <c r="C166" s="74"/>
      <c r="D166" s="411" t="s">
        <v>407</v>
      </c>
      <c r="E166" s="54"/>
      <c r="F166" s="277">
        <f>-3.14*0.3*0.3*0.25</f>
        <v>-7.0000000000000007E-2</v>
      </c>
      <c r="G166" s="409"/>
      <c r="H166" s="75"/>
      <c r="I166" s="25"/>
    </row>
    <row r="167" spans="1:9" ht="12" customHeight="1" outlineLevel="1">
      <c r="A167" s="74"/>
      <c r="B167" s="114"/>
      <c r="C167" s="74"/>
      <c r="D167" s="288" t="s">
        <v>50</v>
      </c>
      <c r="E167" s="410"/>
      <c r="F167" s="412">
        <f>SUM(F165:F166)</f>
        <v>4.6500000000000004</v>
      </c>
      <c r="G167" s="409"/>
      <c r="H167" s="75"/>
      <c r="I167" s="25"/>
    </row>
    <row r="168" spans="1:9">
      <c r="A168" s="74"/>
      <c r="B168" s="74"/>
      <c r="C168" s="74"/>
      <c r="D168" s="87"/>
      <c r="E168" s="73"/>
      <c r="F168" s="113"/>
      <c r="G168" s="79"/>
      <c r="H168" s="80"/>
      <c r="I168" s="25"/>
    </row>
    <row r="169" spans="1:9">
      <c r="A169" s="81">
        <v>3</v>
      </c>
      <c r="B169" s="81" t="s">
        <v>46</v>
      </c>
      <c r="C169" s="81">
        <v>273361821</v>
      </c>
      <c r="D169" s="88" t="s">
        <v>402</v>
      </c>
      <c r="E169" s="89" t="s">
        <v>53</v>
      </c>
      <c r="F169" s="91">
        <v>5.1999999999999998E-2</v>
      </c>
      <c r="G169" s="405"/>
      <c r="H169" s="82">
        <f>F169*G169</f>
        <v>0</v>
      </c>
      <c r="I169" s="69" t="s">
        <v>58</v>
      </c>
    </row>
    <row r="170" spans="1:9" outlineLevel="1">
      <c r="A170" s="74"/>
      <c r="B170" s="114" t="s">
        <v>49</v>
      </c>
      <c r="C170" s="74"/>
      <c r="D170" s="115" t="s">
        <v>403</v>
      </c>
      <c r="E170" s="54"/>
      <c r="F170" s="120">
        <v>5.1999999999999998E-2</v>
      </c>
      <c r="G170" s="55"/>
      <c r="H170" s="75"/>
      <c r="I170" s="25"/>
    </row>
    <row r="171" spans="1:9">
      <c r="A171" s="74"/>
      <c r="B171" s="83"/>
      <c r="C171" s="74"/>
      <c r="D171" s="87"/>
      <c r="E171" s="73"/>
      <c r="F171" s="86"/>
      <c r="G171" s="79"/>
      <c r="H171" s="80"/>
      <c r="I171" s="25"/>
    </row>
    <row r="172" spans="1:9">
      <c r="A172" s="81">
        <v>4</v>
      </c>
      <c r="B172" s="135" t="s">
        <v>46</v>
      </c>
      <c r="C172" s="81">
        <v>273362021</v>
      </c>
      <c r="D172" s="109" t="s">
        <v>401</v>
      </c>
      <c r="E172" s="402" t="s">
        <v>53</v>
      </c>
      <c r="F172" s="403">
        <v>0.34399999999999997</v>
      </c>
      <c r="G172" s="324"/>
      <c r="H172" s="82">
        <f>F172*G172</f>
        <v>0</v>
      </c>
      <c r="I172" s="69" t="s">
        <v>58</v>
      </c>
    </row>
    <row r="173" spans="1:9" outlineLevel="1">
      <c r="A173" s="74"/>
      <c r="B173" s="114" t="s">
        <v>49</v>
      </c>
      <c r="C173" s="76"/>
      <c r="D173" s="115" t="s">
        <v>404</v>
      </c>
      <c r="E173" s="78"/>
      <c r="F173" s="120">
        <v>0.34399999999999997</v>
      </c>
      <c r="G173" s="79"/>
      <c r="H173" s="80"/>
      <c r="I173" s="25"/>
    </row>
    <row r="174" spans="1:9">
      <c r="A174" s="74"/>
      <c r="B174" s="76"/>
      <c r="C174" s="76"/>
      <c r="D174" s="77"/>
      <c r="E174" s="78"/>
      <c r="F174" s="79"/>
      <c r="G174" s="79"/>
      <c r="H174" s="80"/>
      <c r="I174" s="25"/>
    </row>
    <row r="175" spans="1:9" ht="24">
      <c r="A175" s="81">
        <v>5</v>
      </c>
      <c r="B175" s="135" t="s">
        <v>46</v>
      </c>
      <c r="C175" s="81">
        <v>985331212</v>
      </c>
      <c r="D175" s="109" t="s">
        <v>405</v>
      </c>
      <c r="E175" s="402" t="s">
        <v>47</v>
      </c>
      <c r="F175" s="193">
        <v>13.2</v>
      </c>
      <c r="G175" s="405"/>
      <c r="H175" s="82">
        <f>F175*G175</f>
        <v>0</v>
      </c>
      <c r="I175" s="69" t="s">
        <v>58</v>
      </c>
    </row>
    <row r="176" spans="1:9" outlineLevel="1">
      <c r="A176" s="74"/>
      <c r="B176" s="114" t="s">
        <v>49</v>
      </c>
      <c r="C176" s="76"/>
      <c r="D176" s="115" t="s">
        <v>406</v>
      </c>
      <c r="E176" s="78"/>
      <c r="F176" s="117">
        <f>0.2*66</f>
        <v>13.2</v>
      </c>
      <c r="G176" s="79"/>
      <c r="H176" s="80"/>
      <c r="I176" s="25"/>
    </row>
    <row r="177" spans="1:9">
      <c r="A177" s="74"/>
      <c r="B177" s="114"/>
      <c r="C177" s="76"/>
      <c r="D177" s="115"/>
      <c r="E177" s="78"/>
      <c r="F177" s="120"/>
      <c r="G177" s="79"/>
      <c r="H177" s="80"/>
      <c r="I177" s="25"/>
    </row>
    <row r="178" spans="1:9">
      <c r="A178" s="81">
        <v>6</v>
      </c>
      <c r="B178" s="81" t="s">
        <v>46</v>
      </c>
      <c r="C178" s="81">
        <v>274351215</v>
      </c>
      <c r="D178" s="88" t="s">
        <v>63</v>
      </c>
      <c r="E178" s="89" t="s">
        <v>52</v>
      </c>
      <c r="F178" s="90">
        <v>1.21</v>
      </c>
      <c r="G178" s="405"/>
      <c r="H178" s="82">
        <f>F178*G178</f>
        <v>0</v>
      </c>
      <c r="I178" s="69" t="s">
        <v>58</v>
      </c>
    </row>
    <row r="179" spans="1:9" outlineLevel="1">
      <c r="A179" s="74"/>
      <c r="B179" s="114" t="s">
        <v>49</v>
      </c>
      <c r="C179" s="74"/>
      <c r="D179" s="115" t="s">
        <v>408</v>
      </c>
      <c r="E179" s="54"/>
      <c r="F179" s="117">
        <f>(4.98+3.07)*0.15</f>
        <v>1.21</v>
      </c>
      <c r="G179" s="55"/>
      <c r="H179" s="75"/>
      <c r="I179" s="25"/>
    </row>
    <row r="180" spans="1:9">
      <c r="A180" s="74"/>
      <c r="B180" s="74"/>
      <c r="C180" s="74"/>
      <c r="D180" s="72"/>
      <c r="E180" s="73"/>
      <c r="F180" s="84"/>
      <c r="G180" s="55"/>
      <c r="H180" s="75"/>
      <c r="I180" s="25"/>
    </row>
    <row r="181" spans="1:9">
      <c r="A181" s="81">
        <v>7</v>
      </c>
      <c r="B181" s="81" t="s">
        <v>46</v>
      </c>
      <c r="C181" s="81">
        <v>274351216</v>
      </c>
      <c r="D181" s="88" t="s">
        <v>64</v>
      </c>
      <c r="E181" s="89" t="s">
        <v>52</v>
      </c>
      <c r="F181" s="90">
        <v>1.21</v>
      </c>
      <c r="G181" s="405"/>
      <c r="H181" s="82">
        <f>F181*G181</f>
        <v>0</v>
      </c>
      <c r="I181" s="69" t="s">
        <v>58</v>
      </c>
    </row>
    <row r="182" spans="1:9" outlineLevel="1">
      <c r="A182" s="74"/>
      <c r="B182" s="114" t="s">
        <v>49</v>
      </c>
      <c r="C182" s="74"/>
      <c r="D182" s="115" t="s">
        <v>408</v>
      </c>
      <c r="E182" s="54"/>
      <c r="F182" s="117">
        <f>(4.98+3.07)*0.15</f>
        <v>1.21</v>
      </c>
      <c r="G182" s="79"/>
      <c r="H182" s="80"/>
      <c r="I182" s="25"/>
    </row>
    <row r="183" spans="1:9">
      <c r="A183" s="74"/>
      <c r="B183" s="76"/>
      <c r="C183" s="76"/>
      <c r="D183" s="77"/>
      <c r="E183" s="78"/>
      <c r="F183" s="79"/>
      <c r="G183" s="79"/>
      <c r="H183" s="80"/>
      <c r="I183" s="25"/>
    </row>
    <row r="184" spans="1:9">
      <c r="A184" s="81">
        <v>8</v>
      </c>
      <c r="B184" s="81" t="s">
        <v>46</v>
      </c>
      <c r="C184" s="81">
        <v>273351215</v>
      </c>
      <c r="D184" s="88" t="s">
        <v>65</v>
      </c>
      <c r="E184" s="89" t="s">
        <v>52</v>
      </c>
      <c r="F184" s="90">
        <v>0.67</v>
      </c>
      <c r="G184" s="405"/>
      <c r="H184" s="82">
        <f>F184*G184</f>
        <v>0</v>
      </c>
      <c r="I184" s="69" t="s">
        <v>58</v>
      </c>
    </row>
    <row r="185" spans="1:9" outlineLevel="1">
      <c r="A185" s="74"/>
      <c r="B185" s="114" t="s">
        <v>49</v>
      </c>
      <c r="C185" s="74"/>
      <c r="D185" s="115" t="s">
        <v>409</v>
      </c>
      <c r="E185" s="54"/>
      <c r="F185" s="117">
        <f>(3.92+2.271+0.485)*0.1</f>
        <v>0.67</v>
      </c>
      <c r="G185" s="55"/>
      <c r="H185" s="75"/>
      <c r="I185" s="25"/>
    </row>
    <row r="186" spans="1:9">
      <c r="A186" s="74"/>
      <c r="B186" s="74"/>
      <c r="C186" s="74"/>
      <c r="D186" s="72"/>
      <c r="E186" s="73"/>
      <c r="F186" s="84"/>
      <c r="G186" s="55"/>
      <c r="H186" s="75"/>
      <c r="I186" s="25"/>
    </row>
    <row r="187" spans="1:9">
      <c r="A187" s="81">
        <v>9</v>
      </c>
      <c r="B187" s="81" t="s">
        <v>46</v>
      </c>
      <c r="C187" s="81">
        <v>272351216</v>
      </c>
      <c r="D187" s="88" t="s">
        <v>66</v>
      </c>
      <c r="E187" s="89" t="s">
        <v>52</v>
      </c>
      <c r="F187" s="90">
        <v>0.67</v>
      </c>
      <c r="G187" s="405"/>
      <c r="H187" s="82">
        <f>F187*G187</f>
        <v>0</v>
      </c>
      <c r="I187" s="69" t="s">
        <v>58</v>
      </c>
    </row>
    <row r="188" spans="1:9" outlineLevel="1">
      <c r="A188" s="74"/>
      <c r="B188" s="114" t="s">
        <v>49</v>
      </c>
      <c r="C188" s="74"/>
      <c r="D188" s="115" t="s">
        <v>409</v>
      </c>
      <c r="E188" s="54"/>
      <c r="F188" s="117">
        <f>(3.92+2.271+0.485)*0.1</f>
        <v>0.67</v>
      </c>
      <c r="G188" s="55"/>
      <c r="H188" s="75"/>
      <c r="I188" s="25"/>
    </row>
    <row r="189" spans="1:9">
      <c r="A189" s="74"/>
      <c r="B189" s="74"/>
      <c r="C189" s="74"/>
      <c r="D189" s="382"/>
      <c r="E189" s="73"/>
      <c r="F189" s="84"/>
      <c r="G189" s="55"/>
      <c r="H189" s="75"/>
      <c r="I189" s="25"/>
    </row>
    <row r="190" spans="1:9">
      <c r="A190" s="108">
        <v>10</v>
      </c>
      <c r="B190" s="108" t="s">
        <v>46</v>
      </c>
      <c r="C190" s="108">
        <v>271532212</v>
      </c>
      <c r="D190" s="109" t="s">
        <v>410</v>
      </c>
      <c r="E190" s="110" t="s">
        <v>51</v>
      </c>
      <c r="F190" s="111">
        <v>1.94</v>
      </c>
      <c r="G190" s="404"/>
      <c r="H190" s="82">
        <f>F190*G190</f>
        <v>0</v>
      </c>
      <c r="I190" s="69" t="s">
        <v>58</v>
      </c>
    </row>
    <row r="191" spans="1:9" outlineLevel="1">
      <c r="A191" s="74"/>
      <c r="B191" s="114" t="s">
        <v>49</v>
      </c>
      <c r="C191" s="114"/>
      <c r="D191" s="115" t="s">
        <v>411</v>
      </c>
      <c r="E191" s="116"/>
      <c r="F191" s="117">
        <f>3.55*0.855*0.3</f>
        <v>0.91</v>
      </c>
      <c r="G191" s="55"/>
      <c r="H191" s="75"/>
      <c r="I191" s="25"/>
    </row>
    <row r="192" spans="1:9" outlineLevel="1">
      <c r="A192" s="74"/>
      <c r="B192" s="114" t="s">
        <v>49</v>
      </c>
      <c r="C192" s="114"/>
      <c r="D192" s="115" t="s">
        <v>412</v>
      </c>
      <c r="E192" s="116"/>
      <c r="F192" s="117">
        <f>((3.07+1.1)*0.5*4.98+1.1*0.4*0.5-3.14*0.3*0.3)*0.1</f>
        <v>1.03</v>
      </c>
      <c r="G192" s="55"/>
      <c r="H192" s="75"/>
      <c r="I192" s="25"/>
    </row>
    <row r="193" spans="1:12" outlineLevel="1">
      <c r="A193" s="74"/>
      <c r="B193" s="114" t="s">
        <v>49</v>
      </c>
      <c r="C193" s="114"/>
      <c r="D193" s="159" t="s">
        <v>50</v>
      </c>
      <c r="E193" s="160"/>
      <c r="F193" s="167">
        <f>SUM(F191:F192)</f>
        <v>1.94</v>
      </c>
      <c r="G193" s="55"/>
      <c r="H193" s="75"/>
      <c r="I193" s="25"/>
    </row>
    <row r="194" spans="1:12">
      <c r="A194" s="74"/>
      <c r="B194" s="74"/>
      <c r="C194" s="74"/>
      <c r="D194" s="72"/>
      <c r="E194" s="73"/>
      <c r="F194" s="84"/>
      <c r="G194" s="55"/>
      <c r="H194" s="75"/>
      <c r="I194" s="25"/>
    </row>
    <row r="195" spans="1:12" ht="24">
      <c r="A195" s="108">
        <v>11</v>
      </c>
      <c r="B195" s="108" t="s">
        <v>46</v>
      </c>
      <c r="C195" s="108" t="s">
        <v>413</v>
      </c>
      <c r="D195" s="109" t="s">
        <v>414</v>
      </c>
      <c r="E195" s="110" t="s">
        <v>47</v>
      </c>
      <c r="F195" s="111">
        <v>12</v>
      </c>
      <c r="G195" s="404"/>
      <c r="H195" s="82">
        <f>F195*G195</f>
        <v>0</v>
      </c>
      <c r="I195" s="69"/>
      <c r="L195" s="5"/>
    </row>
    <row r="196" spans="1:12" outlineLevel="1">
      <c r="A196" s="74"/>
      <c r="B196" s="114" t="s">
        <v>49</v>
      </c>
      <c r="C196" s="74"/>
      <c r="D196" s="115" t="s">
        <v>415</v>
      </c>
      <c r="E196" s="54"/>
      <c r="F196" s="55"/>
      <c r="G196" s="55"/>
      <c r="H196" s="75"/>
      <c r="I196" s="25"/>
    </row>
    <row r="197" spans="1:12">
      <c r="A197" s="74"/>
      <c r="B197" s="74"/>
      <c r="C197" s="74"/>
      <c r="D197" s="72"/>
      <c r="E197" s="73"/>
      <c r="F197" s="84"/>
      <c r="G197" s="55"/>
      <c r="H197" s="75"/>
      <c r="I197" s="25"/>
    </row>
    <row r="198" spans="1:12">
      <c r="A198" s="74"/>
      <c r="B198" s="249" t="s">
        <v>45</v>
      </c>
      <c r="C198" s="303">
        <v>5</v>
      </c>
      <c r="D198" s="303" t="s">
        <v>273</v>
      </c>
      <c r="E198" s="93"/>
      <c r="F198" s="94"/>
      <c r="G198" s="130"/>
      <c r="H198" s="95">
        <f>SUM(H199:H212)</f>
        <v>0</v>
      </c>
      <c r="I198" s="25"/>
    </row>
    <row r="199" spans="1:12" ht="24">
      <c r="A199" s="108">
        <v>1</v>
      </c>
      <c r="B199" s="156" t="s">
        <v>46</v>
      </c>
      <c r="C199" s="156">
        <v>591211111</v>
      </c>
      <c r="D199" s="142" t="s">
        <v>283</v>
      </c>
      <c r="E199" s="302" t="s">
        <v>52</v>
      </c>
      <c r="F199" s="302">
        <v>103.2</v>
      </c>
      <c r="G199" s="324"/>
      <c r="H199" s="359">
        <f>F199*G199</f>
        <v>0</v>
      </c>
      <c r="I199" s="170" t="s">
        <v>73</v>
      </c>
    </row>
    <row r="200" spans="1:12" outlineLevel="1">
      <c r="A200" s="74"/>
      <c r="B200" s="114" t="s">
        <v>49</v>
      </c>
      <c r="C200" s="114"/>
      <c r="D200" s="153" t="s">
        <v>308</v>
      </c>
      <c r="E200" s="116"/>
      <c r="F200" s="117"/>
      <c r="G200" s="55"/>
      <c r="H200" s="75"/>
      <c r="I200" s="25"/>
    </row>
    <row r="201" spans="1:12" outlineLevel="1">
      <c r="A201" s="74"/>
      <c r="B201" s="114" t="s">
        <v>49</v>
      </c>
      <c r="C201" s="114"/>
      <c r="D201" s="115" t="s">
        <v>309</v>
      </c>
      <c r="E201" s="116"/>
      <c r="F201" s="117">
        <v>18.2</v>
      </c>
      <c r="G201" s="55"/>
      <c r="H201" s="75"/>
      <c r="I201" s="25"/>
    </row>
    <row r="202" spans="1:12" outlineLevel="1">
      <c r="A202" s="74"/>
      <c r="B202" s="114" t="s">
        <v>49</v>
      </c>
      <c r="C202" s="114"/>
      <c r="D202" s="153" t="s">
        <v>285</v>
      </c>
      <c r="E202" s="116"/>
      <c r="F202" s="117"/>
      <c r="G202" s="55"/>
      <c r="H202" s="75"/>
      <c r="I202" s="25"/>
    </row>
    <row r="203" spans="1:12" outlineLevel="1">
      <c r="A203" s="74"/>
      <c r="B203" s="114" t="s">
        <v>49</v>
      </c>
      <c r="C203" s="114"/>
      <c r="D203" s="115" t="s">
        <v>310</v>
      </c>
      <c r="E203" s="116"/>
      <c r="F203" s="117">
        <v>85</v>
      </c>
      <c r="G203" s="55"/>
      <c r="H203" s="75"/>
      <c r="I203" s="25"/>
    </row>
    <row r="204" spans="1:12" outlineLevel="1">
      <c r="A204" s="74"/>
      <c r="B204" s="114" t="s">
        <v>49</v>
      </c>
      <c r="C204" s="114"/>
      <c r="D204" s="115" t="s">
        <v>288</v>
      </c>
      <c r="E204" s="116"/>
      <c r="F204" s="117"/>
      <c r="G204" s="55"/>
      <c r="H204" s="75"/>
      <c r="I204" s="25"/>
    </row>
    <row r="205" spans="1:12" outlineLevel="1">
      <c r="A205" s="74"/>
      <c r="B205" s="114" t="s">
        <v>49</v>
      </c>
      <c r="C205" s="114"/>
      <c r="D205" s="360" t="s">
        <v>289</v>
      </c>
      <c r="E205" s="116"/>
      <c r="F205" s="117">
        <f>-(8.1+8.2+8.6+8.2+8.55)*0.2</f>
        <v>-8.33</v>
      </c>
      <c r="G205" s="55"/>
      <c r="H205" s="75"/>
      <c r="I205" s="25"/>
    </row>
    <row r="206" spans="1:12" outlineLevel="1">
      <c r="A206" s="74"/>
      <c r="B206" s="114" t="s">
        <v>49</v>
      </c>
      <c r="C206" s="114"/>
      <c r="D206" s="159" t="s">
        <v>50</v>
      </c>
      <c r="E206" s="160"/>
      <c r="F206" s="167">
        <f>SUM(F201:F205)</f>
        <v>94.87</v>
      </c>
      <c r="G206" s="55"/>
      <c r="H206" s="75"/>
      <c r="I206" s="25"/>
    </row>
    <row r="207" spans="1:12">
      <c r="A207" s="74"/>
      <c r="B207" s="74"/>
      <c r="C207" s="74"/>
      <c r="D207" s="72"/>
      <c r="E207" s="73"/>
      <c r="F207" s="84"/>
      <c r="G207" s="55"/>
      <c r="H207" s="75"/>
      <c r="I207" s="25"/>
    </row>
    <row r="208" spans="1:12">
      <c r="A208" s="108">
        <v>2</v>
      </c>
      <c r="B208" s="156" t="s">
        <v>46</v>
      </c>
      <c r="C208" s="156">
        <v>451579777</v>
      </c>
      <c r="D208" s="142" t="s">
        <v>286</v>
      </c>
      <c r="E208" s="302" t="s">
        <v>52</v>
      </c>
      <c r="F208" s="302">
        <v>189.74</v>
      </c>
      <c r="G208" s="324"/>
      <c r="H208" s="359">
        <f>F208*G208</f>
        <v>0</v>
      </c>
      <c r="I208" s="170" t="s">
        <v>73</v>
      </c>
    </row>
    <row r="209" spans="1:9" outlineLevel="1">
      <c r="A209" s="74"/>
      <c r="B209" s="114" t="s">
        <v>49</v>
      </c>
      <c r="C209" s="74"/>
      <c r="D209" s="115" t="s">
        <v>290</v>
      </c>
      <c r="E209" s="116"/>
      <c r="F209" s="117"/>
      <c r="G209" s="55"/>
      <c r="H209" s="75"/>
      <c r="I209" s="25"/>
    </row>
    <row r="210" spans="1:9" outlineLevel="1">
      <c r="A210" s="74"/>
      <c r="B210" s="114" t="s">
        <v>49</v>
      </c>
      <c r="C210" s="74"/>
      <c r="D210" s="115" t="s">
        <v>291</v>
      </c>
      <c r="E210" s="116"/>
      <c r="F210" s="117">
        <f>94.87*2</f>
        <v>189.74</v>
      </c>
      <c r="G210" s="55"/>
      <c r="H210" s="75"/>
      <c r="I210" s="25"/>
    </row>
    <row r="211" spans="1:9">
      <c r="A211" s="74"/>
      <c r="B211" s="74"/>
      <c r="C211" s="74"/>
      <c r="D211" s="72"/>
      <c r="E211" s="73"/>
      <c r="F211" s="84"/>
      <c r="G211" s="55"/>
      <c r="H211" s="75"/>
      <c r="I211" s="25"/>
    </row>
    <row r="212" spans="1:9" ht="24">
      <c r="A212" s="108">
        <v>3</v>
      </c>
      <c r="B212" s="156" t="s">
        <v>46</v>
      </c>
      <c r="C212" s="361">
        <v>564851114</v>
      </c>
      <c r="D212" s="362" t="s">
        <v>292</v>
      </c>
      <c r="E212" s="363" t="s">
        <v>52</v>
      </c>
      <c r="F212" s="364">
        <v>76.67</v>
      </c>
      <c r="G212" s="365"/>
      <c r="H212" s="366">
        <f>F212*G212</f>
        <v>0</v>
      </c>
      <c r="I212" s="170" t="s">
        <v>73</v>
      </c>
    </row>
    <row r="213" spans="1:9" outlineLevel="1">
      <c r="A213" s="74"/>
      <c r="B213" s="114" t="s">
        <v>49</v>
      </c>
      <c r="C213" s="74"/>
      <c r="D213" s="153" t="s">
        <v>285</v>
      </c>
      <c r="E213" s="116"/>
      <c r="F213" s="117"/>
      <c r="G213" s="55"/>
      <c r="H213" s="75"/>
      <c r="I213" s="25"/>
    </row>
    <row r="214" spans="1:9" outlineLevel="1">
      <c r="A214" s="74"/>
      <c r="B214" s="114" t="s">
        <v>49</v>
      </c>
      <c r="C214" s="74"/>
      <c r="D214" s="115" t="s">
        <v>287</v>
      </c>
      <c r="E214" s="116"/>
      <c r="F214" s="117">
        <v>85</v>
      </c>
      <c r="G214" s="55"/>
      <c r="H214" s="75"/>
      <c r="I214" s="25"/>
    </row>
    <row r="215" spans="1:9" outlineLevel="1">
      <c r="A215" s="74"/>
      <c r="B215" s="114" t="s">
        <v>49</v>
      </c>
      <c r="C215" s="74"/>
      <c r="D215" s="115" t="s">
        <v>288</v>
      </c>
      <c r="E215" s="116"/>
      <c r="F215" s="117"/>
      <c r="G215" s="55"/>
      <c r="H215" s="75"/>
      <c r="I215" s="25"/>
    </row>
    <row r="216" spans="1:9" outlineLevel="1">
      <c r="A216" s="74"/>
      <c r="B216" s="114" t="s">
        <v>49</v>
      </c>
      <c r="C216" s="74"/>
      <c r="D216" s="360" t="s">
        <v>289</v>
      </c>
      <c r="E216" s="116"/>
      <c r="F216" s="117">
        <f>-(8.1+8.2+8.6+8.2+8.55)*0.2</f>
        <v>-8.33</v>
      </c>
      <c r="G216" s="55"/>
      <c r="H216" s="75"/>
      <c r="I216" s="25"/>
    </row>
    <row r="217" spans="1:9" outlineLevel="1">
      <c r="A217" s="74"/>
      <c r="B217" s="114" t="s">
        <v>49</v>
      </c>
      <c r="C217" s="114"/>
      <c r="D217" s="159" t="s">
        <v>50</v>
      </c>
      <c r="E217" s="160"/>
      <c r="F217" s="167">
        <f>SUM(F214:F216)</f>
        <v>76.67</v>
      </c>
      <c r="G217" s="55"/>
      <c r="H217" s="75"/>
      <c r="I217" s="25"/>
    </row>
    <row r="218" spans="1:9">
      <c r="A218" s="74"/>
      <c r="B218" s="74"/>
      <c r="C218" s="74"/>
      <c r="D218" s="72"/>
      <c r="E218" s="73"/>
      <c r="F218" s="84"/>
      <c r="G218" s="55"/>
      <c r="H218" s="75"/>
      <c r="I218" s="25"/>
    </row>
    <row r="219" spans="1:9">
      <c r="A219" s="74"/>
      <c r="B219" s="249" t="s">
        <v>45</v>
      </c>
      <c r="C219" s="303">
        <v>6</v>
      </c>
      <c r="D219" s="303" t="s">
        <v>70</v>
      </c>
      <c r="E219" s="93"/>
      <c r="F219" s="94"/>
      <c r="G219" s="130"/>
      <c r="H219" s="95">
        <f>SUM(H220:H229)</f>
        <v>0</v>
      </c>
      <c r="I219" s="25"/>
    </row>
    <row r="220" spans="1:9">
      <c r="A220" s="142">
        <v>1</v>
      </c>
      <c r="B220" s="81" t="s">
        <v>46</v>
      </c>
      <c r="C220" s="183">
        <v>632451425</v>
      </c>
      <c r="D220" s="180" t="s">
        <v>72</v>
      </c>
      <c r="E220" s="157" t="s">
        <v>52</v>
      </c>
      <c r="F220" s="206">
        <v>13.64</v>
      </c>
      <c r="G220" s="129"/>
      <c r="H220" s="82">
        <f>F220*G220</f>
        <v>0</v>
      </c>
      <c r="I220" s="69" t="s">
        <v>58</v>
      </c>
    </row>
    <row r="221" spans="1:9" outlineLevel="1">
      <c r="A221" s="173"/>
      <c r="B221" s="114" t="s">
        <v>49</v>
      </c>
      <c r="C221" s="174"/>
      <c r="D221" s="329" t="s">
        <v>193</v>
      </c>
      <c r="E221" s="140"/>
      <c r="F221" s="138"/>
      <c r="G221" s="55"/>
      <c r="H221" s="75"/>
      <c r="I221" s="25"/>
    </row>
    <row r="222" spans="1:9" outlineLevel="1">
      <c r="A222" s="74"/>
      <c r="B222" s="114" t="s">
        <v>49</v>
      </c>
      <c r="C222" s="114"/>
      <c r="D222" s="115" t="s">
        <v>258</v>
      </c>
      <c r="E222" s="116"/>
      <c r="F222" s="117"/>
      <c r="G222" s="55"/>
      <c r="H222" s="75"/>
      <c r="I222" s="25"/>
    </row>
    <row r="223" spans="1:9" outlineLevel="1">
      <c r="A223" s="74"/>
      <c r="B223" s="114" t="s">
        <v>49</v>
      </c>
      <c r="C223" s="114"/>
      <c r="D223" s="115" t="s">
        <v>259</v>
      </c>
      <c r="E223" s="116"/>
      <c r="F223" s="117">
        <f>3.55*0.855+(3.07+1.1)*0.5*4.98+1.1*0.4*0.5</f>
        <v>13.64</v>
      </c>
      <c r="G223" s="55"/>
      <c r="H223" s="75"/>
      <c r="I223" s="25"/>
    </row>
    <row r="224" spans="1:9">
      <c r="A224" s="74"/>
      <c r="B224" s="74"/>
      <c r="C224" s="74"/>
      <c r="D224" s="72"/>
      <c r="E224" s="73"/>
      <c r="F224" s="84"/>
      <c r="G224" s="55"/>
      <c r="H224" s="75"/>
      <c r="I224" s="25"/>
    </row>
    <row r="225" spans="1:12">
      <c r="A225" s="142">
        <v>2</v>
      </c>
      <c r="B225" s="81" t="s">
        <v>46</v>
      </c>
      <c r="C225" s="183" t="s">
        <v>260</v>
      </c>
      <c r="D225" s="180" t="s">
        <v>265</v>
      </c>
      <c r="E225" s="157" t="s">
        <v>47</v>
      </c>
      <c r="F225" s="206">
        <v>6.03</v>
      </c>
      <c r="G225" s="129"/>
      <c r="H225" s="82">
        <f>F225*G225</f>
        <v>0</v>
      </c>
      <c r="I225" s="69"/>
    </row>
    <row r="226" spans="1:12" outlineLevel="1">
      <c r="A226" s="8"/>
      <c r="B226" s="114" t="s">
        <v>49</v>
      </c>
      <c r="C226" s="8"/>
      <c r="D226" s="119" t="s">
        <v>261</v>
      </c>
      <c r="E226" s="8"/>
      <c r="F226" s="8"/>
      <c r="G226" s="8"/>
      <c r="H226" s="8"/>
      <c r="I226" s="8"/>
    </row>
    <row r="227" spans="1:12" outlineLevel="1">
      <c r="A227" s="8"/>
      <c r="B227" s="114" t="s">
        <v>49</v>
      </c>
      <c r="C227" s="8"/>
      <c r="D227" s="330" t="s">
        <v>262</v>
      </c>
      <c r="E227" s="8"/>
      <c r="F227" s="117">
        <f>2*3.14*(0.14+0.01*2)*3*2</f>
        <v>6.03</v>
      </c>
      <c r="G227" s="8"/>
      <c r="H227" s="8"/>
      <c r="I227" s="8"/>
    </row>
    <row r="228" spans="1:12">
      <c r="A228" s="8"/>
      <c r="B228" s="8"/>
      <c r="C228" s="8"/>
      <c r="D228" s="8"/>
      <c r="E228" s="8"/>
      <c r="F228" s="8"/>
      <c r="G228" s="8"/>
      <c r="H228" s="8"/>
      <c r="I228" s="8"/>
    </row>
    <row r="229" spans="1:12">
      <c r="A229" s="142">
        <v>3</v>
      </c>
      <c r="B229" s="81" t="s">
        <v>46</v>
      </c>
      <c r="C229" s="183" t="s">
        <v>263</v>
      </c>
      <c r="D229" s="180" t="s">
        <v>266</v>
      </c>
      <c r="E229" s="157" t="s">
        <v>47</v>
      </c>
      <c r="F229" s="206">
        <v>2.0099999999999998</v>
      </c>
      <c r="G229" s="129"/>
      <c r="H229" s="82">
        <f>F229*G229</f>
        <v>0</v>
      </c>
      <c r="I229" s="69"/>
    </row>
    <row r="230" spans="1:12" outlineLevel="1">
      <c r="A230" s="74"/>
      <c r="B230" s="114" t="s">
        <v>49</v>
      </c>
      <c r="C230" s="74"/>
      <c r="D230" s="119" t="s">
        <v>261</v>
      </c>
      <c r="E230" s="73"/>
      <c r="F230" s="84"/>
      <c r="G230" s="55"/>
      <c r="H230" s="75"/>
      <c r="I230" s="25"/>
    </row>
    <row r="231" spans="1:12" outlineLevel="1">
      <c r="A231" s="74"/>
      <c r="B231" s="114" t="s">
        <v>49</v>
      </c>
      <c r="C231" s="74"/>
      <c r="D231" s="330" t="s">
        <v>264</v>
      </c>
      <c r="E231" s="73"/>
      <c r="F231" s="141">
        <f>2*3.14*(0.14+0.01*2)*2</f>
        <v>2.0099999999999998</v>
      </c>
      <c r="G231" s="55"/>
      <c r="H231" s="75"/>
      <c r="I231" s="25"/>
    </row>
    <row r="232" spans="1:12">
      <c r="A232" s="74"/>
      <c r="B232" s="114"/>
      <c r="C232" s="74"/>
      <c r="D232" s="330"/>
      <c r="E232" s="73"/>
      <c r="F232" s="141"/>
      <c r="G232" s="55"/>
      <c r="H232" s="75"/>
      <c r="I232" s="25"/>
    </row>
    <row r="233" spans="1:12">
      <c r="A233" s="74"/>
      <c r="B233" s="249" t="s">
        <v>45</v>
      </c>
      <c r="C233" s="303">
        <v>9</v>
      </c>
      <c r="D233" s="303" t="s">
        <v>293</v>
      </c>
      <c r="E233" s="93"/>
      <c r="F233" s="94"/>
      <c r="G233" s="130"/>
      <c r="H233" s="95">
        <f>SUM(H234:H290)</f>
        <v>0</v>
      </c>
      <c r="I233" s="25"/>
    </row>
    <row r="234" spans="1:12" ht="12" customHeight="1">
      <c r="A234" s="81">
        <v>1</v>
      </c>
      <c r="B234" s="81" t="s">
        <v>46</v>
      </c>
      <c r="C234" s="81">
        <v>952901111</v>
      </c>
      <c r="D234" s="88" t="s">
        <v>294</v>
      </c>
      <c r="E234" s="89" t="s">
        <v>52</v>
      </c>
      <c r="F234" s="90">
        <v>18.2</v>
      </c>
      <c r="G234" s="129"/>
      <c r="H234" s="82">
        <f>F234*G234</f>
        <v>0</v>
      </c>
      <c r="I234" s="69" t="s">
        <v>58</v>
      </c>
      <c r="L234" s="5"/>
    </row>
    <row r="235" spans="1:12" outlineLevel="1">
      <c r="A235" s="74"/>
      <c r="B235" s="114" t="s">
        <v>49</v>
      </c>
      <c r="C235" s="74"/>
      <c r="D235" s="330" t="s">
        <v>296</v>
      </c>
      <c r="E235" s="73"/>
      <c r="F235" s="141">
        <v>18.2</v>
      </c>
      <c r="G235" s="55"/>
      <c r="H235" s="75"/>
      <c r="I235" s="25"/>
    </row>
    <row r="236" spans="1:12">
      <c r="A236" s="74"/>
      <c r="B236" s="114"/>
      <c r="C236" s="74"/>
      <c r="D236" s="330"/>
      <c r="E236" s="73"/>
      <c r="F236" s="141"/>
      <c r="G236" s="55"/>
      <c r="H236" s="75"/>
      <c r="I236" s="25"/>
    </row>
    <row r="237" spans="1:12" ht="24">
      <c r="A237" s="81">
        <v>2</v>
      </c>
      <c r="B237" s="81" t="s">
        <v>46</v>
      </c>
      <c r="C237" s="81">
        <v>949101111</v>
      </c>
      <c r="D237" s="88" t="s">
        <v>295</v>
      </c>
      <c r="E237" s="89" t="s">
        <v>52</v>
      </c>
      <c r="F237" s="90">
        <v>25.95</v>
      </c>
      <c r="G237" s="129"/>
      <c r="H237" s="82">
        <f>F237*G237</f>
        <v>0</v>
      </c>
      <c r="I237" s="69" t="s">
        <v>58</v>
      </c>
    </row>
    <row r="238" spans="1:12" outlineLevel="1">
      <c r="A238" s="74"/>
      <c r="B238" s="114" t="s">
        <v>49</v>
      </c>
      <c r="C238" s="74"/>
      <c r="D238" s="330" t="s">
        <v>297</v>
      </c>
      <c r="E238" s="73"/>
      <c r="F238" s="141"/>
      <c r="G238" s="55"/>
      <c r="H238" s="75"/>
      <c r="I238" s="25"/>
    </row>
    <row r="239" spans="1:12" outlineLevel="1">
      <c r="A239" s="74"/>
      <c r="B239" s="114" t="s">
        <v>49</v>
      </c>
      <c r="C239" s="74"/>
      <c r="D239" s="115" t="s">
        <v>298</v>
      </c>
      <c r="E239" s="140"/>
      <c r="F239" s="117">
        <f>11.38*4.56*0.5</f>
        <v>25.95</v>
      </c>
      <c r="G239" s="55"/>
      <c r="H239" s="75"/>
      <c r="I239" s="25"/>
    </row>
    <row r="240" spans="1:12">
      <c r="A240" s="74"/>
      <c r="B240" s="114"/>
      <c r="C240" s="74"/>
      <c r="D240" s="330"/>
      <c r="E240" s="73"/>
      <c r="F240" s="141"/>
      <c r="G240" s="55"/>
      <c r="H240" s="75"/>
      <c r="I240" s="25"/>
    </row>
    <row r="241" spans="1:9" ht="24">
      <c r="A241" s="81">
        <v>3</v>
      </c>
      <c r="B241" s="81" t="s">
        <v>46</v>
      </c>
      <c r="C241" s="81">
        <v>935113111</v>
      </c>
      <c r="D241" s="88" t="s">
        <v>300</v>
      </c>
      <c r="E241" s="89" t="s">
        <v>47</v>
      </c>
      <c r="F241" s="90">
        <v>13.55</v>
      </c>
      <c r="G241" s="129"/>
      <c r="H241" s="82">
        <f>F241*G241</f>
        <v>0</v>
      </c>
      <c r="I241" s="69" t="s">
        <v>58</v>
      </c>
    </row>
    <row r="242" spans="1:9" outlineLevel="1">
      <c r="A242" s="74"/>
      <c r="B242" s="114" t="s">
        <v>49</v>
      </c>
      <c r="C242" s="74"/>
      <c r="D242" s="330" t="s">
        <v>299</v>
      </c>
      <c r="E242" s="73"/>
      <c r="F242" s="141">
        <f>8.99+4.56</f>
        <v>13.55</v>
      </c>
      <c r="G242" s="55"/>
      <c r="H242" s="75"/>
      <c r="I242" s="25"/>
    </row>
    <row r="243" spans="1:9">
      <c r="A243" s="74"/>
      <c r="B243" s="114"/>
      <c r="C243" s="74"/>
      <c r="D243" s="330"/>
      <c r="E243" s="73"/>
      <c r="F243" s="141"/>
      <c r="G243" s="55"/>
      <c r="H243" s="75"/>
      <c r="I243" s="25"/>
    </row>
    <row r="244" spans="1:9" ht="24">
      <c r="A244" s="81">
        <v>4</v>
      </c>
      <c r="B244" s="81" t="s">
        <v>54</v>
      </c>
      <c r="C244" s="81" t="s">
        <v>301</v>
      </c>
      <c r="D244" s="88" t="s">
        <v>302</v>
      </c>
      <c r="E244" s="89" t="s">
        <v>47</v>
      </c>
      <c r="F244" s="90">
        <v>13.55</v>
      </c>
      <c r="G244" s="129"/>
      <c r="H244" s="82">
        <f>F244*G244</f>
        <v>0</v>
      </c>
      <c r="I244" s="69" t="s">
        <v>58</v>
      </c>
    </row>
    <row r="245" spans="1:9" outlineLevel="1">
      <c r="A245" s="74"/>
      <c r="B245" s="114" t="s">
        <v>49</v>
      </c>
      <c r="C245" s="74"/>
      <c r="D245" s="330" t="s">
        <v>299</v>
      </c>
      <c r="E245" s="73"/>
      <c r="F245" s="141">
        <f>8.99+4.56</f>
        <v>13.55</v>
      </c>
      <c r="G245" s="55"/>
      <c r="H245" s="75"/>
      <c r="I245" s="25"/>
    </row>
    <row r="246" spans="1:9">
      <c r="A246" s="74"/>
      <c r="B246" s="114"/>
      <c r="C246" s="74"/>
      <c r="D246" s="330"/>
      <c r="E246" s="73"/>
      <c r="F246" s="141"/>
      <c r="G246" s="55"/>
      <c r="H246" s="75"/>
      <c r="I246" s="25"/>
    </row>
    <row r="247" spans="1:9" ht="24" customHeight="1">
      <c r="A247" s="108">
        <v>5</v>
      </c>
      <c r="B247" s="81" t="s">
        <v>46</v>
      </c>
      <c r="C247" s="361">
        <v>916111123</v>
      </c>
      <c r="D247" s="362" t="s">
        <v>303</v>
      </c>
      <c r="E247" s="363" t="s">
        <v>47</v>
      </c>
      <c r="F247" s="364">
        <v>41.65</v>
      </c>
      <c r="G247" s="365"/>
      <c r="H247" s="366">
        <f>F247*G247</f>
        <v>0</v>
      </c>
      <c r="I247" s="69" t="s">
        <v>58</v>
      </c>
    </row>
    <row r="248" spans="1:9" outlineLevel="1">
      <c r="A248" s="74"/>
      <c r="B248" s="114" t="s">
        <v>49</v>
      </c>
      <c r="C248" s="367"/>
      <c r="D248" s="368" t="s">
        <v>311</v>
      </c>
      <c r="E248" s="369"/>
      <c r="F248" s="370"/>
      <c r="G248" s="371"/>
      <c r="H248" s="372"/>
      <c r="I248" s="25"/>
    </row>
    <row r="249" spans="1:9" outlineLevel="1">
      <c r="A249" s="74"/>
      <c r="B249" s="114" t="s">
        <v>49</v>
      </c>
      <c r="C249" s="367"/>
      <c r="D249" s="115" t="s">
        <v>306</v>
      </c>
      <c r="E249" s="373"/>
      <c r="F249" s="116">
        <f>8.1+8.2+8.6+8.2+8.55</f>
        <v>41.65</v>
      </c>
      <c r="G249" s="371"/>
      <c r="H249" s="372"/>
      <c r="I249" s="25"/>
    </row>
    <row r="250" spans="1:9">
      <c r="A250" s="74"/>
      <c r="B250" s="114"/>
      <c r="C250" s="374"/>
      <c r="D250" s="375"/>
      <c r="E250" s="376"/>
      <c r="F250" s="376"/>
      <c r="G250" s="377"/>
      <c r="H250" s="378"/>
      <c r="I250" s="25"/>
    </row>
    <row r="251" spans="1:9" ht="24">
      <c r="A251" s="108">
        <v>6</v>
      </c>
      <c r="B251" s="81" t="s">
        <v>46</v>
      </c>
      <c r="C251" s="361">
        <v>916111122</v>
      </c>
      <c r="D251" s="362" t="s">
        <v>304</v>
      </c>
      <c r="E251" s="363" t="s">
        <v>47</v>
      </c>
      <c r="F251" s="364">
        <v>41.65</v>
      </c>
      <c r="G251" s="365"/>
      <c r="H251" s="366">
        <f>F251*G251</f>
        <v>0</v>
      </c>
      <c r="I251" s="69" t="s">
        <v>58</v>
      </c>
    </row>
    <row r="252" spans="1:9" outlineLevel="1">
      <c r="A252" s="74"/>
      <c r="B252" s="114" t="s">
        <v>49</v>
      </c>
      <c r="C252" s="367"/>
      <c r="D252" s="368" t="s">
        <v>312</v>
      </c>
      <c r="E252" s="369"/>
      <c r="F252" s="370"/>
      <c r="G252" s="371"/>
      <c r="H252" s="372"/>
      <c r="I252" s="25"/>
    </row>
    <row r="253" spans="1:9" outlineLevel="1">
      <c r="A253" s="74"/>
      <c r="B253" s="114" t="s">
        <v>49</v>
      </c>
      <c r="C253" s="367"/>
      <c r="D253" s="115" t="s">
        <v>306</v>
      </c>
      <c r="E253" s="369"/>
      <c r="F253" s="116">
        <f>8.1+8.2+8.6+8.2+8.55</f>
        <v>41.65</v>
      </c>
      <c r="G253" s="371"/>
      <c r="H253" s="372"/>
      <c r="I253" s="25"/>
    </row>
    <row r="254" spans="1:9">
      <c r="A254" s="74"/>
      <c r="B254" s="114"/>
      <c r="C254" s="374"/>
      <c r="D254" s="375"/>
      <c r="E254" s="376"/>
      <c r="F254" s="376"/>
      <c r="G254" s="377"/>
      <c r="H254" s="378"/>
      <c r="I254" s="25"/>
    </row>
    <row r="255" spans="1:9" ht="24">
      <c r="A255" s="108">
        <v>7</v>
      </c>
      <c r="B255" s="81" t="s">
        <v>46</v>
      </c>
      <c r="C255" s="361">
        <v>916991121</v>
      </c>
      <c r="D255" s="362" t="s">
        <v>305</v>
      </c>
      <c r="E255" s="363" t="s">
        <v>51</v>
      </c>
      <c r="F255" s="364">
        <v>1.87</v>
      </c>
      <c r="G255" s="365"/>
      <c r="H255" s="366">
        <f>F255*G255</f>
        <v>0</v>
      </c>
      <c r="I255" s="69" t="s">
        <v>58</v>
      </c>
    </row>
    <row r="256" spans="1:9" outlineLevel="1">
      <c r="A256" s="74"/>
      <c r="B256" s="114" t="s">
        <v>49</v>
      </c>
      <c r="C256" s="367"/>
      <c r="D256" s="368" t="s">
        <v>313</v>
      </c>
      <c r="E256" s="369"/>
      <c r="F256" s="370"/>
      <c r="G256" s="371"/>
      <c r="H256" s="372"/>
      <c r="I256" s="25"/>
    </row>
    <row r="257" spans="1:11" outlineLevel="1">
      <c r="A257" s="74"/>
      <c r="B257" s="114" t="s">
        <v>49</v>
      </c>
      <c r="C257" s="74"/>
      <c r="D257" s="115" t="s">
        <v>307</v>
      </c>
      <c r="E257" s="73"/>
      <c r="F257" s="117">
        <f>(8.1+8.2+8.6+8.2+8.55)*0.3*(0.07+0.18-0.1)</f>
        <v>1.87</v>
      </c>
      <c r="G257" s="55"/>
      <c r="H257" s="75"/>
      <c r="I257" s="25"/>
    </row>
    <row r="258" spans="1:11">
      <c r="A258" s="74"/>
      <c r="B258" s="114"/>
      <c r="C258" s="74"/>
      <c r="D258" s="330"/>
      <c r="E258" s="73"/>
      <c r="F258" s="141"/>
      <c r="G258" s="55"/>
      <c r="H258" s="75"/>
      <c r="I258" s="25"/>
    </row>
    <row r="259" spans="1:11" ht="36">
      <c r="A259" s="108">
        <v>8</v>
      </c>
      <c r="B259" s="81" t="s">
        <v>46</v>
      </c>
      <c r="C259" s="108">
        <v>979071121</v>
      </c>
      <c r="D259" s="362" t="s">
        <v>314</v>
      </c>
      <c r="E259" s="89" t="s">
        <v>52</v>
      </c>
      <c r="F259" s="90">
        <v>93.74</v>
      </c>
      <c r="G259" s="129"/>
      <c r="H259" s="82">
        <f>F259*G259</f>
        <v>0</v>
      </c>
      <c r="I259" s="69" t="s">
        <v>58</v>
      </c>
    </row>
    <row r="260" spans="1:11" outlineLevel="1">
      <c r="A260" s="74"/>
      <c r="B260" s="114" t="s">
        <v>49</v>
      </c>
      <c r="C260" s="74"/>
      <c r="D260" s="115" t="s">
        <v>315</v>
      </c>
      <c r="E260" s="73"/>
      <c r="F260" s="141">
        <v>104</v>
      </c>
      <c r="G260" s="55"/>
      <c r="H260" s="75"/>
      <c r="I260" s="25"/>
    </row>
    <row r="261" spans="1:11" outlineLevel="1">
      <c r="A261" s="74"/>
      <c r="B261" s="114" t="s">
        <v>49</v>
      </c>
      <c r="C261" s="74"/>
      <c r="D261" s="115" t="s">
        <v>316</v>
      </c>
      <c r="E261" s="73"/>
      <c r="F261" s="141"/>
      <c r="G261" s="55"/>
      <c r="H261" s="75"/>
      <c r="I261" s="25"/>
    </row>
    <row r="262" spans="1:11" outlineLevel="1">
      <c r="A262" s="74"/>
      <c r="B262" s="114" t="s">
        <v>49</v>
      </c>
      <c r="C262" s="74"/>
      <c r="D262" s="379" t="s">
        <v>318</v>
      </c>
      <c r="E262" s="73"/>
      <c r="F262" s="379">
        <f>-(8.9+8.7+9.7+8.4+7.7+7.9)*0.2</f>
        <v>-10.26</v>
      </c>
      <c r="G262" s="55"/>
      <c r="H262" s="75"/>
      <c r="I262" s="25"/>
    </row>
    <row r="263" spans="1:11" outlineLevel="1">
      <c r="A263" s="74"/>
      <c r="B263" s="114" t="s">
        <v>49</v>
      </c>
      <c r="C263" s="74"/>
      <c r="D263" s="380" t="s">
        <v>50</v>
      </c>
      <c r="E263" s="381"/>
      <c r="F263" s="147">
        <f>SUM(F260:F262)</f>
        <v>93.74</v>
      </c>
      <c r="G263" s="55"/>
      <c r="H263" s="75"/>
      <c r="I263" s="25"/>
    </row>
    <row r="264" spans="1:11">
      <c r="A264" s="74"/>
      <c r="B264" s="114"/>
      <c r="C264" s="74"/>
      <c r="D264" s="330"/>
      <c r="E264" s="73"/>
      <c r="F264" s="141"/>
      <c r="G264" s="55"/>
      <c r="H264" s="75"/>
      <c r="I264" s="25"/>
    </row>
    <row r="265" spans="1:11" ht="36" customHeight="1">
      <c r="A265" s="108">
        <v>9</v>
      </c>
      <c r="B265" s="81" t="s">
        <v>46</v>
      </c>
      <c r="C265" s="108">
        <v>979071122</v>
      </c>
      <c r="D265" s="362" t="s">
        <v>369</v>
      </c>
      <c r="E265" s="89" t="s">
        <v>52</v>
      </c>
      <c r="F265" s="90">
        <v>10.26</v>
      </c>
      <c r="G265" s="129"/>
      <c r="H265" s="82">
        <f>F265*G265</f>
        <v>0</v>
      </c>
      <c r="I265" s="69" t="s">
        <v>58</v>
      </c>
    </row>
    <row r="266" spans="1:11" outlineLevel="1">
      <c r="A266" s="74"/>
      <c r="B266" s="114" t="s">
        <v>49</v>
      </c>
      <c r="C266" s="74"/>
      <c r="D266" s="115" t="s">
        <v>319</v>
      </c>
      <c r="E266" s="73"/>
      <c r="F266" s="141"/>
      <c r="G266" s="55"/>
      <c r="H266" s="75"/>
      <c r="I266" s="25"/>
    </row>
    <row r="267" spans="1:11" outlineLevel="1">
      <c r="A267" s="74"/>
      <c r="B267" s="114" t="s">
        <v>49</v>
      </c>
      <c r="C267" s="74"/>
      <c r="D267" s="330" t="s">
        <v>317</v>
      </c>
      <c r="E267" s="73"/>
      <c r="F267" s="379">
        <f>(8.9+8.7+9.7+8.4+7.7+7.9)*0.2</f>
        <v>10.26</v>
      </c>
      <c r="G267" s="55"/>
      <c r="H267" s="75"/>
      <c r="I267" s="25"/>
    </row>
    <row r="268" spans="1:11">
      <c r="A268" s="74"/>
      <c r="B268" s="114"/>
      <c r="C268" s="74"/>
      <c r="D268" s="330"/>
      <c r="E268" s="73"/>
      <c r="F268" s="141"/>
      <c r="G268" s="55"/>
      <c r="H268" s="75"/>
      <c r="I268" s="25"/>
    </row>
    <row r="269" spans="1:11" ht="24">
      <c r="A269" s="67">
        <v>10</v>
      </c>
      <c r="B269" s="67" t="s">
        <v>46</v>
      </c>
      <c r="C269" s="67">
        <v>977151118</v>
      </c>
      <c r="D269" s="67" t="s">
        <v>381</v>
      </c>
      <c r="E269" s="199" t="s">
        <v>47</v>
      </c>
      <c r="F269" s="200">
        <v>0.6</v>
      </c>
      <c r="G269" s="205"/>
      <c r="H269" s="68">
        <f>F269*G269</f>
        <v>0</v>
      </c>
      <c r="I269" s="69" t="s">
        <v>58</v>
      </c>
      <c r="J269" s="242">
        <v>3.1E-2</v>
      </c>
      <c r="K269" s="242">
        <f>F269*J269</f>
        <v>1.9E-2</v>
      </c>
    </row>
    <row r="270" spans="1:11" outlineLevel="1">
      <c r="A270" s="74"/>
      <c r="B270" s="114" t="s">
        <v>49</v>
      </c>
      <c r="C270" s="74"/>
      <c r="D270" s="330" t="s">
        <v>382</v>
      </c>
      <c r="E270" s="73"/>
      <c r="F270" s="141"/>
      <c r="G270" s="55"/>
      <c r="H270" s="75"/>
      <c r="I270" s="25"/>
    </row>
    <row r="271" spans="1:11" outlineLevel="1">
      <c r="A271" s="74"/>
      <c r="B271" s="114" t="s">
        <v>49</v>
      </c>
      <c r="C271" s="74"/>
      <c r="D271" s="330" t="s">
        <v>383</v>
      </c>
      <c r="E271" s="73"/>
      <c r="F271" s="141">
        <f>0.4+0.2</f>
        <v>0.6</v>
      </c>
      <c r="G271" s="55"/>
      <c r="H271" s="75"/>
      <c r="I271" s="25"/>
    </row>
    <row r="272" spans="1:11">
      <c r="A272" s="74"/>
      <c r="B272" s="114"/>
      <c r="C272" s="74"/>
      <c r="D272" s="330"/>
      <c r="E272" s="73"/>
      <c r="F272" s="141"/>
      <c r="G272" s="55"/>
      <c r="H272" s="75"/>
      <c r="I272" s="25"/>
    </row>
    <row r="273" spans="1:9" ht="36">
      <c r="A273" s="67">
        <v>11</v>
      </c>
      <c r="B273" s="67" t="s">
        <v>46</v>
      </c>
      <c r="C273" s="67" t="s">
        <v>386</v>
      </c>
      <c r="D273" s="67" t="s">
        <v>384</v>
      </c>
      <c r="E273" s="199" t="s">
        <v>385</v>
      </c>
      <c r="F273" s="200">
        <v>1</v>
      </c>
      <c r="G273" s="205"/>
      <c r="H273" s="68">
        <f>F273*G273</f>
        <v>0</v>
      </c>
      <c r="I273" s="69"/>
    </row>
    <row r="274" spans="1:9" outlineLevel="1">
      <c r="A274" s="74"/>
      <c r="B274" s="114" t="s">
        <v>49</v>
      </c>
      <c r="C274" s="74"/>
      <c r="D274" s="330" t="s">
        <v>387</v>
      </c>
      <c r="E274" s="73"/>
      <c r="F274" s="141"/>
      <c r="G274" s="55"/>
      <c r="H274" s="75"/>
      <c r="I274" s="25"/>
    </row>
    <row r="275" spans="1:9">
      <c r="A275" s="74"/>
      <c r="B275" s="114"/>
      <c r="C275" s="74"/>
      <c r="D275" s="330"/>
      <c r="E275" s="73"/>
      <c r="F275" s="141"/>
      <c r="G275" s="55"/>
      <c r="H275" s="75"/>
      <c r="I275" s="25"/>
    </row>
    <row r="276" spans="1:9">
      <c r="A276" s="67">
        <v>12</v>
      </c>
      <c r="B276" s="67" t="s">
        <v>46</v>
      </c>
      <c r="C276" s="67">
        <v>997013501</v>
      </c>
      <c r="D276" s="67" t="s">
        <v>89</v>
      </c>
      <c r="E276" s="199" t="s">
        <v>53</v>
      </c>
      <c r="F276" s="244">
        <v>1.2110000000000001</v>
      </c>
      <c r="G276" s="205"/>
      <c r="H276" s="201">
        <f>F276*G276</f>
        <v>0</v>
      </c>
      <c r="I276" s="69" t="s">
        <v>58</v>
      </c>
    </row>
    <row r="277" spans="1:9" outlineLevel="1">
      <c r="A277" s="24"/>
      <c r="B277" s="114" t="s">
        <v>49</v>
      </c>
      <c r="C277" s="24"/>
      <c r="D277" s="148" t="s">
        <v>388</v>
      </c>
      <c r="E277" s="243"/>
      <c r="F277" s="406"/>
      <c r="G277" s="202"/>
      <c r="H277" s="66"/>
      <c r="I277" s="25"/>
    </row>
    <row r="278" spans="1:9" outlineLevel="1">
      <c r="A278" s="24"/>
      <c r="B278" s="114" t="s">
        <v>49</v>
      </c>
      <c r="C278" s="24"/>
      <c r="D278" s="148" t="s">
        <v>391</v>
      </c>
      <c r="E278" s="243"/>
      <c r="F278" s="224">
        <f>0.6*0.031</f>
        <v>1.9E-2</v>
      </c>
      <c r="G278" s="202"/>
      <c r="H278" s="66"/>
      <c r="I278" s="25"/>
    </row>
    <row r="279" spans="1:9" outlineLevel="1">
      <c r="A279" s="24"/>
      <c r="B279" s="114" t="s">
        <v>49</v>
      </c>
      <c r="C279" s="24"/>
      <c r="D279" s="148" t="s">
        <v>389</v>
      </c>
      <c r="E279" s="243"/>
      <c r="F279" s="406"/>
      <c r="G279" s="202"/>
      <c r="H279" s="66"/>
      <c r="I279" s="25"/>
    </row>
    <row r="280" spans="1:9" outlineLevel="1">
      <c r="A280" s="24"/>
      <c r="B280" s="114" t="s">
        <v>49</v>
      </c>
      <c r="C280" s="24"/>
      <c r="D280" s="148" t="s">
        <v>392</v>
      </c>
      <c r="E280" s="243"/>
      <c r="F280" s="224">
        <f>5.62*0.06</f>
        <v>0.33700000000000002</v>
      </c>
      <c r="G280" s="202"/>
      <c r="H280" s="66"/>
      <c r="I280" s="25"/>
    </row>
    <row r="281" spans="1:9" outlineLevel="1">
      <c r="A281" s="24"/>
      <c r="B281" s="114" t="s">
        <v>49</v>
      </c>
      <c r="C281" s="24"/>
      <c r="D281" s="148" t="s">
        <v>390</v>
      </c>
      <c r="E281" s="243"/>
      <c r="F281" s="406"/>
      <c r="G281" s="202"/>
      <c r="H281" s="66"/>
      <c r="I281" s="25"/>
    </row>
    <row r="282" spans="1:9" outlineLevel="1">
      <c r="A282" s="24"/>
      <c r="B282" s="114" t="s">
        <v>49</v>
      </c>
      <c r="C282" s="24"/>
      <c r="D282" s="148" t="s">
        <v>393</v>
      </c>
      <c r="E282" s="243"/>
      <c r="F282" s="224">
        <f>(0.9+1.7*5+0.2)*2.7*0.033</f>
        <v>0.85499999999999998</v>
      </c>
      <c r="G282" s="202"/>
      <c r="H282" s="66"/>
      <c r="I282" s="25"/>
    </row>
    <row r="283" spans="1:9" outlineLevel="1">
      <c r="A283" s="24"/>
      <c r="B283" s="114" t="s">
        <v>49</v>
      </c>
      <c r="C283" s="24"/>
      <c r="D283" s="218" t="s">
        <v>50</v>
      </c>
      <c r="E283" s="407"/>
      <c r="F283" s="408">
        <f>SUM(F278:F282)</f>
        <v>1.2110000000000001</v>
      </c>
      <c r="G283" s="202"/>
      <c r="H283" s="66"/>
      <c r="I283" s="25"/>
    </row>
    <row r="284" spans="1:9">
      <c r="A284" s="24"/>
      <c r="B284" s="24"/>
      <c r="C284" s="24"/>
      <c r="D284" s="24"/>
      <c r="E284" s="195"/>
      <c r="F284" s="15"/>
      <c r="G284" s="202"/>
      <c r="H284" s="66"/>
      <c r="I284" s="25"/>
    </row>
    <row r="285" spans="1:9">
      <c r="A285" s="67">
        <v>13</v>
      </c>
      <c r="B285" s="67" t="s">
        <v>46</v>
      </c>
      <c r="C285" s="67">
        <v>997013509</v>
      </c>
      <c r="D285" s="67" t="s">
        <v>90</v>
      </c>
      <c r="E285" s="199" t="s">
        <v>53</v>
      </c>
      <c r="F285" s="244">
        <v>23.009</v>
      </c>
      <c r="G285" s="205"/>
      <c r="H285" s="201">
        <f>F285*G285</f>
        <v>0</v>
      </c>
      <c r="I285" s="69" t="s">
        <v>58</v>
      </c>
    </row>
    <row r="286" spans="1:9" outlineLevel="1">
      <c r="A286" s="24"/>
      <c r="B286" s="114" t="s">
        <v>49</v>
      </c>
      <c r="C286" s="24"/>
      <c r="D286" s="148" t="s">
        <v>394</v>
      </c>
      <c r="E286" s="243"/>
      <c r="F286" s="224">
        <f>1.211*19</f>
        <v>23.009</v>
      </c>
      <c r="G286" s="202"/>
      <c r="H286" s="66"/>
      <c r="I286" s="25"/>
    </row>
    <row r="287" spans="1:9">
      <c r="A287" s="24"/>
      <c r="B287" s="24"/>
      <c r="C287" s="24"/>
      <c r="D287" s="24"/>
      <c r="E287" s="195"/>
      <c r="F287" s="245"/>
      <c r="G287" s="202"/>
      <c r="H287" s="66"/>
      <c r="I287" s="25"/>
    </row>
    <row r="288" spans="1:9">
      <c r="A288" s="67">
        <v>14</v>
      </c>
      <c r="B288" s="67" t="s">
        <v>46</v>
      </c>
      <c r="C288" s="67">
        <v>997013801</v>
      </c>
      <c r="D288" s="67" t="s">
        <v>370</v>
      </c>
      <c r="E288" s="199" t="s">
        <v>53</v>
      </c>
      <c r="F288" s="244">
        <v>1.9E-2</v>
      </c>
      <c r="G288" s="205"/>
      <c r="H288" s="201">
        <f>F288*G288</f>
        <v>0</v>
      </c>
      <c r="I288" s="69" t="s">
        <v>58</v>
      </c>
    </row>
    <row r="289" spans="1:12">
      <c r="A289" s="24"/>
      <c r="B289" s="24"/>
      <c r="C289" s="24"/>
      <c r="D289" s="24"/>
      <c r="E289" s="195"/>
      <c r="F289" s="245"/>
      <c r="G289" s="202"/>
      <c r="H289" s="66"/>
      <c r="I289" s="25"/>
    </row>
    <row r="290" spans="1:12">
      <c r="A290" s="67">
        <v>15</v>
      </c>
      <c r="B290" s="67" t="s">
        <v>46</v>
      </c>
      <c r="C290" s="67">
        <v>997013813</v>
      </c>
      <c r="D290" s="67" t="s">
        <v>395</v>
      </c>
      <c r="E290" s="199" t="s">
        <v>53</v>
      </c>
      <c r="F290" s="244">
        <v>0.33700000000000002</v>
      </c>
      <c r="G290" s="205"/>
      <c r="H290" s="201">
        <f>F290*G290</f>
        <v>0</v>
      </c>
      <c r="I290" s="383" t="s">
        <v>58</v>
      </c>
    </row>
    <row r="291" spans="1:12">
      <c r="A291" s="74"/>
      <c r="B291" s="114"/>
      <c r="C291" s="74"/>
      <c r="D291" s="330"/>
      <c r="E291" s="73"/>
      <c r="F291" s="141"/>
      <c r="G291" s="55"/>
      <c r="H291" s="75"/>
      <c r="I291" s="25"/>
    </row>
    <row r="292" spans="1:12">
      <c r="A292" s="74"/>
      <c r="B292" s="413"/>
      <c r="C292" s="413"/>
      <c r="D292" s="414" t="s">
        <v>416</v>
      </c>
      <c r="E292" s="415"/>
      <c r="F292" s="416"/>
      <c r="G292" s="417"/>
      <c r="H292" s="418"/>
      <c r="I292" s="25"/>
    </row>
    <row r="293" spans="1:12">
      <c r="A293" s="108">
        <v>1</v>
      </c>
      <c r="B293" s="361" t="s">
        <v>46</v>
      </c>
      <c r="C293" s="361" t="s">
        <v>417</v>
      </c>
      <c r="D293" s="419" t="s">
        <v>419</v>
      </c>
      <c r="E293" s="420" t="s">
        <v>57</v>
      </c>
      <c r="F293" s="421">
        <f>(H158+H198+H219+H234+H237+H241+H244+H247+H251+H255+H259+H265+H269+H273)*0.01</f>
        <v>0</v>
      </c>
      <c r="G293" s="422"/>
      <c r="H293" s="423">
        <f>F293*G293</f>
        <v>0</v>
      </c>
      <c r="I293" s="170"/>
    </row>
    <row r="294" spans="1:12" outlineLevel="1">
      <c r="A294" s="74"/>
      <c r="B294" s="426" t="s">
        <v>49</v>
      </c>
      <c r="C294" s="367"/>
      <c r="D294" s="424" t="s">
        <v>418</v>
      </c>
      <c r="E294" s="415"/>
      <c r="F294" s="416"/>
      <c r="G294" s="425"/>
      <c r="H294" s="418"/>
      <c r="I294" s="25"/>
    </row>
    <row r="295" spans="1:12" s="106" customFormat="1">
      <c r="A295" s="213"/>
      <c r="B295" s="74"/>
      <c r="C295" s="74"/>
      <c r="D295" s="53"/>
      <c r="E295" s="54"/>
      <c r="F295" s="55"/>
      <c r="G295" s="107"/>
      <c r="J295" s="165"/>
      <c r="K295" s="327"/>
    </row>
    <row r="296" spans="1:12">
      <c r="A296" s="74"/>
      <c r="B296" s="249" t="s">
        <v>45</v>
      </c>
      <c r="C296" s="303">
        <v>711</v>
      </c>
      <c r="D296" s="303" t="s">
        <v>166</v>
      </c>
      <c r="E296" s="93"/>
      <c r="F296" s="94"/>
      <c r="G296" s="130"/>
      <c r="H296" s="95">
        <f>SUM(H297:H325)</f>
        <v>0</v>
      </c>
      <c r="I296" s="25"/>
    </row>
    <row r="297" spans="1:12" ht="24">
      <c r="A297" s="108">
        <v>1</v>
      </c>
      <c r="B297" s="156" t="s">
        <v>46</v>
      </c>
      <c r="C297" s="108">
        <v>711111001</v>
      </c>
      <c r="D297" s="271" t="s">
        <v>158</v>
      </c>
      <c r="E297" s="272" t="s">
        <v>52</v>
      </c>
      <c r="F297" s="273">
        <v>18.61</v>
      </c>
      <c r="G297" s="274"/>
      <c r="H297" s="169">
        <f>F297*G297</f>
        <v>0</v>
      </c>
      <c r="I297" s="69" t="s">
        <v>58</v>
      </c>
      <c r="L297" s="5"/>
    </row>
    <row r="298" spans="1:12" outlineLevel="1">
      <c r="A298" s="74"/>
      <c r="B298" s="137" t="s">
        <v>49</v>
      </c>
      <c r="C298" s="114"/>
      <c r="D298" s="275" t="s">
        <v>174</v>
      </c>
      <c r="E298" s="305"/>
      <c r="F298" s="277">
        <f>(3.92+1.8)*0.5*5.271+1.673*0.68*0.5+1.673*3.55*0.5</f>
        <v>18.61</v>
      </c>
      <c r="G298" s="278"/>
      <c r="H298" s="214"/>
      <c r="I298" s="25"/>
    </row>
    <row r="299" spans="1:12">
      <c r="A299" s="74"/>
      <c r="B299" s="102"/>
      <c r="C299" s="74"/>
      <c r="D299" s="291"/>
      <c r="E299" s="276"/>
      <c r="F299" s="285"/>
      <c r="G299" s="278"/>
      <c r="H299" s="214"/>
      <c r="I299" s="25"/>
    </row>
    <row r="300" spans="1:12" ht="12" customHeight="1">
      <c r="A300" s="108">
        <v>2</v>
      </c>
      <c r="B300" s="156" t="s">
        <v>46</v>
      </c>
      <c r="C300" s="108">
        <v>711112001</v>
      </c>
      <c r="D300" s="271" t="s">
        <v>161</v>
      </c>
      <c r="E300" s="272" t="s">
        <v>52</v>
      </c>
      <c r="F300" s="273">
        <v>5.8</v>
      </c>
      <c r="G300" s="274"/>
      <c r="H300" s="169">
        <f>F300*G300</f>
        <v>0</v>
      </c>
      <c r="I300" s="69" t="s">
        <v>58</v>
      </c>
    </row>
    <row r="301" spans="1:12" ht="12" customHeight="1" outlineLevel="1">
      <c r="A301" s="74"/>
      <c r="B301" s="137" t="s">
        <v>49</v>
      </c>
      <c r="C301" s="74"/>
      <c r="D301" s="275" t="s">
        <v>178</v>
      </c>
      <c r="E301" s="305"/>
      <c r="F301" s="277">
        <f>(3.985+8.99+0.235+9.72)*0.25+3.14*0.14*0.15</f>
        <v>5.8</v>
      </c>
      <c r="G301" s="278"/>
      <c r="H301" s="214"/>
      <c r="I301" s="25"/>
    </row>
    <row r="302" spans="1:12">
      <c r="A302" s="74"/>
      <c r="B302" s="92"/>
      <c r="C302" s="74"/>
      <c r="D302" s="275"/>
      <c r="E302" s="276"/>
      <c r="F302" s="277"/>
      <c r="G302" s="278"/>
      <c r="H302" s="214"/>
      <c r="I302" s="25"/>
    </row>
    <row r="303" spans="1:12">
      <c r="A303" s="108">
        <v>3</v>
      </c>
      <c r="B303" s="156" t="s">
        <v>54</v>
      </c>
      <c r="C303" s="280" t="s">
        <v>159</v>
      </c>
      <c r="D303" s="271" t="s">
        <v>175</v>
      </c>
      <c r="E303" s="272" t="s">
        <v>53</v>
      </c>
      <c r="F303" s="281">
        <v>8.0000000000000002E-3</v>
      </c>
      <c r="G303" s="282"/>
      <c r="H303" s="169">
        <f>F303*G303</f>
        <v>0</v>
      </c>
      <c r="I303" s="170"/>
    </row>
    <row r="304" spans="1:12" outlineLevel="1">
      <c r="A304" s="74"/>
      <c r="B304" s="137" t="s">
        <v>49</v>
      </c>
      <c r="C304" s="283"/>
      <c r="D304" s="284" t="s">
        <v>179</v>
      </c>
      <c r="E304" s="276"/>
      <c r="F304" s="168">
        <f>18.61*0.0003+5.8*0.00035</f>
        <v>8.0000000000000002E-3</v>
      </c>
      <c r="G304" s="285"/>
      <c r="H304" s="286"/>
      <c r="I304" s="25"/>
    </row>
    <row r="305" spans="1:9">
      <c r="A305" s="74"/>
      <c r="B305" s="92"/>
      <c r="C305" s="283"/>
      <c r="D305" s="284"/>
      <c r="E305" s="276"/>
      <c r="F305" s="287"/>
      <c r="G305" s="285"/>
      <c r="H305" s="286"/>
      <c r="I305" s="25"/>
    </row>
    <row r="306" spans="1:9" ht="24">
      <c r="A306" s="108">
        <v>4</v>
      </c>
      <c r="B306" s="156" t="s">
        <v>46</v>
      </c>
      <c r="C306" s="280">
        <v>711141559</v>
      </c>
      <c r="D306" s="271" t="s">
        <v>160</v>
      </c>
      <c r="E306" s="272" t="s">
        <v>52</v>
      </c>
      <c r="F306" s="273">
        <v>37.22</v>
      </c>
      <c r="G306" s="282"/>
      <c r="H306" s="169">
        <f>F306*G306</f>
        <v>0</v>
      </c>
      <c r="I306" s="69" t="s">
        <v>58</v>
      </c>
    </row>
    <row r="307" spans="1:9" outlineLevel="1">
      <c r="A307" s="74"/>
      <c r="B307" s="137" t="s">
        <v>49</v>
      </c>
      <c r="C307" s="283"/>
      <c r="D307" s="288" t="s">
        <v>176</v>
      </c>
      <c r="E307" s="289"/>
      <c r="F307" s="147"/>
      <c r="G307" s="285"/>
      <c r="H307" s="290"/>
      <c r="I307" s="25"/>
    </row>
    <row r="308" spans="1:9" outlineLevel="1">
      <c r="A308" s="74"/>
      <c r="B308" s="137" t="s">
        <v>49</v>
      </c>
      <c r="C308" s="283"/>
      <c r="D308" s="275" t="s">
        <v>177</v>
      </c>
      <c r="E308" s="276"/>
      <c r="F308" s="145">
        <f>18.61*2</f>
        <v>37.22</v>
      </c>
      <c r="G308" s="285"/>
      <c r="H308" s="290"/>
      <c r="I308" s="25"/>
    </row>
    <row r="309" spans="1:9">
      <c r="A309" s="74"/>
      <c r="B309" s="137"/>
      <c r="C309" s="283"/>
      <c r="D309" s="275"/>
      <c r="E309" s="276"/>
      <c r="F309" s="145"/>
      <c r="G309" s="285"/>
      <c r="H309" s="290"/>
      <c r="I309" s="25"/>
    </row>
    <row r="310" spans="1:9" ht="12" customHeight="1">
      <c r="A310" s="108">
        <v>5</v>
      </c>
      <c r="B310" s="156" t="s">
        <v>46</v>
      </c>
      <c r="C310" s="280">
        <v>711142559</v>
      </c>
      <c r="D310" s="271" t="s">
        <v>180</v>
      </c>
      <c r="E310" s="272" t="s">
        <v>52</v>
      </c>
      <c r="F310" s="273">
        <v>8.34</v>
      </c>
      <c r="G310" s="282"/>
      <c r="H310" s="169">
        <f>F310*G310</f>
        <v>0</v>
      </c>
      <c r="I310" s="69" t="s">
        <v>58</v>
      </c>
    </row>
    <row r="311" spans="1:9" ht="12" customHeight="1" outlineLevel="1">
      <c r="A311" s="74"/>
      <c r="B311" s="137" t="s">
        <v>49</v>
      </c>
      <c r="C311" s="283"/>
      <c r="D311" s="275" t="s">
        <v>182</v>
      </c>
      <c r="E311" s="276"/>
      <c r="F311" s="277">
        <f>(3.985+8.99+0.235)*0.25+9.82*0.25*2+3.14*0.14*0.15*2</f>
        <v>8.34</v>
      </c>
      <c r="G311" s="285"/>
      <c r="H311" s="290"/>
      <c r="I311" s="25"/>
    </row>
    <row r="312" spans="1:9">
      <c r="A312" s="74"/>
      <c r="B312" s="92"/>
      <c r="C312" s="283"/>
      <c r="D312" s="275"/>
      <c r="E312" s="276"/>
      <c r="F312" s="145"/>
      <c r="G312" s="285"/>
      <c r="H312" s="290"/>
      <c r="I312" s="25"/>
    </row>
    <row r="313" spans="1:9">
      <c r="A313" s="108">
        <v>6</v>
      </c>
      <c r="B313" s="306" t="s">
        <v>46</v>
      </c>
      <c r="C313" s="280">
        <v>711745567</v>
      </c>
      <c r="D313" s="271" t="s">
        <v>181</v>
      </c>
      <c r="E313" s="272" t="s">
        <v>52</v>
      </c>
      <c r="F313" s="273">
        <v>13.18</v>
      </c>
      <c r="G313" s="282"/>
      <c r="H313" s="169">
        <f>F313*G313</f>
        <v>0</v>
      </c>
      <c r="I313" s="69" t="s">
        <v>58</v>
      </c>
    </row>
    <row r="314" spans="1:9" outlineLevel="1">
      <c r="A314" s="74"/>
      <c r="B314" s="137" t="s">
        <v>49</v>
      </c>
      <c r="C314" s="283"/>
      <c r="D314" s="275" t="s">
        <v>183</v>
      </c>
      <c r="E314" s="276"/>
      <c r="F314" s="277">
        <f>3.95+8.99+0.235</f>
        <v>13.18</v>
      </c>
      <c r="G314" s="285"/>
      <c r="H314" s="290"/>
      <c r="I314" s="25"/>
    </row>
    <row r="315" spans="1:9">
      <c r="A315" s="74"/>
      <c r="B315" s="92"/>
      <c r="C315" s="283"/>
      <c r="D315" s="291"/>
      <c r="E315" s="276"/>
      <c r="F315" s="287"/>
      <c r="G315" s="285"/>
      <c r="H315" s="290"/>
      <c r="I315" s="25"/>
    </row>
    <row r="316" spans="1:9" ht="24" customHeight="1">
      <c r="A316" s="108">
        <v>7</v>
      </c>
      <c r="B316" s="156" t="s">
        <v>54</v>
      </c>
      <c r="C316" s="108" t="s">
        <v>185</v>
      </c>
      <c r="D316" s="307" t="s">
        <v>186</v>
      </c>
      <c r="E316" s="216" t="s">
        <v>52</v>
      </c>
      <c r="F316" s="273">
        <v>60.91</v>
      </c>
      <c r="G316" s="282"/>
      <c r="H316" s="169">
        <f>F316*G316</f>
        <v>0</v>
      </c>
      <c r="I316" s="170"/>
    </row>
    <row r="317" spans="1:9" outlineLevel="1">
      <c r="A317" s="74"/>
      <c r="B317" s="137" t="s">
        <v>49</v>
      </c>
      <c r="C317" s="292"/>
      <c r="D317" s="293" t="s">
        <v>187</v>
      </c>
      <c r="E317" s="294"/>
      <c r="F317" s="295"/>
      <c r="G317" s="285"/>
      <c r="H317" s="214"/>
      <c r="I317" s="25"/>
    </row>
    <row r="318" spans="1:9" outlineLevel="1">
      <c r="A318" s="74"/>
      <c r="B318" s="137" t="s">
        <v>49</v>
      </c>
      <c r="C318" s="292"/>
      <c r="D318" s="293" t="s">
        <v>189</v>
      </c>
      <c r="E318" s="294"/>
      <c r="F318" s="295">
        <f>37.22*1.15</f>
        <v>42.8</v>
      </c>
      <c r="G318" s="285"/>
      <c r="H318" s="214"/>
      <c r="I318" s="25"/>
    </row>
    <row r="319" spans="1:9" outlineLevel="1">
      <c r="A319" s="74"/>
      <c r="B319" s="137" t="s">
        <v>49</v>
      </c>
      <c r="C319" s="292"/>
      <c r="D319" s="293" t="s">
        <v>188</v>
      </c>
      <c r="E319" s="294"/>
      <c r="F319" s="295"/>
      <c r="G319" s="285"/>
      <c r="H319" s="214"/>
      <c r="I319" s="25"/>
    </row>
    <row r="320" spans="1:9" outlineLevel="1">
      <c r="A320" s="74"/>
      <c r="B320" s="137" t="s">
        <v>49</v>
      </c>
      <c r="C320" s="296"/>
      <c r="D320" s="308" t="s">
        <v>190</v>
      </c>
      <c r="E320" s="309"/>
      <c r="F320" s="310">
        <f>8.34*1.2</f>
        <v>10.01</v>
      </c>
      <c r="G320" s="297"/>
      <c r="H320" s="298"/>
      <c r="I320" s="25"/>
    </row>
    <row r="321" spans="1:12" outlineLevel="1">
      <c r="A321" s="74"/>
      <c r="B321" s="137" t="s">
        <v>49</v>
      </c>
      <c r="C321" s="296"/>
      <c r="D321" s="308" t="s">
        <v>191</v>
      </c>
      <c r="E321" s="309"/>
      <c r="F321" s="310"/>
      <c r="G321" s="297"/>
      <c r="H321" s="298"/>
      <c r="I321" s="25"/>
    </row>
    <row r="322" spans="1:12" outlineLevel="1">
      <c r="A322" s="74"/>
      <c r="B322" s="137" t="s">
        <v>49</v>
      </c>
      <c r="C322" s="296"/>
      <c r="D322" s="308" t="s">
        <v>192</v>
      </c>
      <c r="E322" s="309"/>
      <c r="F322" s="310">
        <f>13.5*0.6</f>
        <v>8.1</v>
      </c>
      <c r="G322" s="297"/>
      <c r="H322" s="298"/>
      <c r="I322" s="25"/>
    </row>
    <row r="323" spans="1:12" outlineLevel="1">
      <c r="A323" s="74"/>
      <c r="B323" s="137" t="s">
        <v>49</v>
      </c>
      <c r="C323" s="296"/>
      <c r="D323" s="311" t="s">
        <v>50</v>
      </c>
      <c r="E323" s="312"/>
      <c r="F323" s="313">
        <f>SUM(F318:F322)</f>
        <v>60.91</v>
      </c>
      <c r="G323" s="297"/>
      <c r="H323" s="298"/>
      <c r="I323" s="25"/>
    </row>
    <row r="324" spans="1:12">
      <c r="A324" s="74"/>
      <c r="B324" s="92"/>
      <c r="C324" s="181"/>
      <c r="D324" s="215"/>
      <c r="E324" s="215"/>
      <c r="F324" s="181"/>
      <c r="G324" s="299"/>
      <c r="H324" s="300"/>
      <c r="I324" s="25"/>
    </row>
    <row r="325" spans="1:12">
      <c r="A325" s="306">
        <v>8</v>
      </c>
      <c r="B325" s="306" t="s">
        <v>46</v>
      </c>
      <c r="C325" s="108">
        <v>998711201</v>
      </c>
      <c r="D325" s="301" t="s">
        <v>184</v>
      </c>
      <c r="E325" s="216" t="s">
        <v>57</v>
      </c>
      <c r="F325" s="302">
        <f>SUM(H297:H316)*0.01</f>
        <v>0</v>
      </c>
      <c r="G325" s="144"/>
      <c r="H325" s="169">
        <f>F325*G325</f>
        <v>0</v>
      </c>
      <c r="I325" s="69" t="s">
        <v>58</v>
      </c>
    </row>
    <row r="326" spans="1:12">
      <c r="A326" s="74"/>
      <c r="B326" s="92"/>
      <c r="C326" s="179"/>
      <c r="D326" s="92"/>
      <c r="E326" s="93"/>
      <c r="F326" s="94"/>
      <c r="G326" s="130"/>
      <c r="H326" s="95"/>
      <c r="I326" s="25"/>
    </row>
    <row r="327" spans="1:12" customFormat="1" ht="12.75">
      <c r="B327" s="249" t="s">
        <v>45</v>
      </c>
      <c r="C327" s="303">
        <v>712</v>
      </c>
      <c r="D327" s="303" t="s">
        <v>420</v>
      </c>
      <c r="E327" s="93"/>
      <c r="F327" s="94"/>
      <c r="G327" s="130"/>
      <c r="H327" s="95">
        <f>SUM(H328:H375)</f>
        <v>0</v>
      </c>
    </row>
    <row r="328" spans="1:12" customFormat="1" ht="36">
      <c r="A328" s="440">
        <v>1</v>
      </c>
      <c r="B328" s="427" t="s">
        <v>46</v>
      </c>
      <c r="C328" s="428" t="s">
        <v>421</v>
      </c>
      <c r="D328" s="429" t="s">
        <v>455</v>
      </c>
      <c r="E328" s="430" t="s">
        <v>52</v>
      </c>
      <c r="F328" s="431">
        <v>17.88</v>
      </c>
      <c r="G328" s="432"/>
      <c r="H328" s="433">
        <f>F328*G328</f>
        <v>0</v>
      </c>
      <c r="I328" s="439"/>
      <c r="L328" s="463"/>
    </row>
    <row r="329" spans="1:12" customFormat="1" ht="12.75" outlineLevel="1">
      <c r="B329" s="451" t="s">
        <v>48</v>
      </c>
      <c r="C329" s="452"/>
      <c r="D329" s="453" t="s">
        <v>422</v>
      </c>
      <c r="E329" s="435"/>
      <c r="F329" s="436"/>
      <c r="G329" s="437"/>
      <c r="H329" s="372"/>
    </row>
    <row r="330" spans="1:12" customFormat="1" ht="24" outlineLevel="1">
      <c r="B330" s="451" t="s">
        <v>48</v>
      </c>
      <c r="C330" s="452"/>
      <c r="D330" s="453" t="s">
        <v>423</v>
      </c>
      <c r="E330" s="435"/>
      <c r="F330" s="436"/>
      <c r="G330" s="437"/>
      <c r="H330" s="372"/>
    </row>
    <row r="331" spans="1:12" customFormat="1" ht="24" outlineLevel="1">
      <c r="B331" s="451" t="s">
        <v>48</v>
      </c>
      <c r="C331" s="452"/>
      <c r="D331" s="453" t="s">
        <v>426</v>
      </c>
      <c r="E331" s="435"/>
      <c r="F331" s="436"/>
      <c r="G331" s="437"/>
      <c r="H331" s="372"/>
    </row>
    <row r="332" spans="1:12" customFormat="1" ht="12.75" outlineLevel="1">
      <c r="B332" s="451" t="s">
        <v>48</v>
      </c>
      <c r="C332" s="452"/>
      <c r="D332" s="453" t="s">
        <v>424</v>
      </c>
      <c r="E332" s="435"/>
      <c r="F332" s="436"/>
      <c r="G332" s="437"/>
      <c r="H332" s="372"/>
    </row>
    <row r="333" spans="1:12" customFormat="1" ht="12.75" outlineLevel="1">
      <c r="B333" s="451" t="s">
        <v>48</v>
      </c>
      <c r="C333" s="452"/>
      <c r="D333" s="453" t="s">
        <v>425</v>
      </c>
      <c r="E333" s="435"/>
      <c r="F333" s="438"/>
      <c r="G333" s="437"/>
      <c r="H333" s="372"/>
    </row>
    <row r="334" spans="1:12" customFormat="1" ht="12.75" outlineLevel="1">
      <c r="B334" s="451" t="s">
        <v>49</v>
      </c>
      <c r="C334" s="174"/>
      <c r="D334" s="454" t="s">
        <v>284</v>
      </c>
      <c r="E334" s="140"/>
      <c r="F334" s="266"/>
      <c r="G334" s="130"/>
      <c r="H334" s="95"/>
    </row>
    <row r="335" spans="1:12" customFormat="1" ht="12.75" outlineLevel="1">
      <c r="B335" s="451" t="s">
        <v>49</v>
      </c>
      <c r="C335" s="174"/>
      <c r="D335" s="115" t="s">
        <v>431</v>
      </c>
      <c r="E335" s="140"/>
      <c r="F335" s="117">
        <f>(3.79+0.22)*0.5*8.91+0.189*0.2*0.5</f>
        <v>17.88</v>
      </c>
      <c r="G335" s="130"/>
      <c r="H335" s="95"/>
    </row>
    <row r="336" spans="1:12" customFormat="1" ht="12.75">
      <c r="B336" s="249"/>
      <c r="C336" s="303"/>
      <c r="D336" s="303"/>
      <c r="E336" s="93"/>
      <c r="F336" s="94"/>
      <c r="G336" s="130"/>
      <c r="H336" s="95"/>
    </row>
    <row r="337" spans="1:9" customFormat="1" ht="48">
      <c r="A337" s="440">
        <v>2</v>
      </c>
      <c r="B337" s="427" t="s">
        <v>46</v>
      </c>
      <c r="C337" s="428" t="s">
        <v>427</v>
      </c>
      <c r="D337" s="429" t="s">
        <v>428</v>
      </c>
      <c r="E337" s="430" t="s">
        <v>52</v>
      </c>
      <c r="F337" s="431">
        <v>5.57</v>
      </c>
      <c r="G337" s="432"/>
      <c r="H337" s="433">
        <f>F337*G337</f>
        <v>0</v>
      </c>
      <c r="I337" s="439"/>
    </row>
    <row r="338" spans="1:9" customFormat="1" ht="12.75" outlineLevel="1">
      <c r="A338" s="445"/>
      <c r="B338" s="451" t="s">
        <v>48</v>
      </c>
      <c r="C338" s="434"/>
      <c r="D338" s="453" t="s">
        <v>422</v>
      </c>
      <c r="E338" s="446"/>
      <c r="F338" s="447"/>
      <c r="G338" s="450"/>
      <c r="H338" s="448"/>
      <c r="I338" s="449"/>
    </row>
    <row r="339" spans="1:9" customFormat="1" ht="24" outlineLevel="1">
      <c r="A339" s="445"/>
      <c r="B339" s="451" t="s">
        <v>48</v>
      </c>
      <c r="C339" s="452"/>
      <c r="D339" s="453" t="s">
        <v>423</v>
      </c>
      <c r="E339" s="435"/>
      <c r="F339" s="436"/>
      <c r="G339" s="450"/>
      <c r="H339" s="448"/>
      <c r="I339" s="449"/>
    </row>
    <row r="340" spans="1:9" customFormat="1" ht="24" outlineLevel="1">
      <c r="A340" s="445"/>
      <c r="B340" s="451" t="s">
        <v>48</v>
      </c>
      <c r="C340" s="452"/>
      <c r="D340" s="453" t="s">
        <v>426</v>
      </c>
      <c r="E340" s="435"/>
      <c r="F340" s="436"/>
      <c r="G340" s="450"/>
      <c r="H340" s="448"/>
      <c r="I340" s="449"/>
    </row>
    <row r="341" spans="1:9" customFormat="1" ht="12.75" outlineLevel="1">
      <c r="A341" s="445"/>
      <c r="B341" s="451" t="s">
        <v>48</v>
      </c>
      <c r="C341" s="452"/>
      <c r="D341" s="453" t="s">
        <v>424</v>
      </c>
      <c r="E341" s="435"/>
      <c r="F341" s="436"/>
      <c r="G341" s="450"/>
      <c r="H341" s="448"/>
      <c r="I341" s="449"/>
    </row>
    <row r="342" spans="1:9" customFormat="1" ht="12.75" outlineLevel="1">
      <c r="A342" s="445"/>
      <c r="B342" s="451" t="s">
        <v>48</v>
      </c>
      <c r="C342" s="452"/>
      <c r="D342" s="453" t="s">
        <v>425</v>
      </c>
      <c r="E342" s="435"/>
      <c r="F342" s="436"/>
      <c r="G342" s="450"/>
      <c r="H342" s="448"/>
      <c r="I342" s="449"/>
    </row>
    <row r="343" spans="1:9" customFormat="1" ht="12.75" outlineLevel="1">
      <c r="A343" s="445"/>
      <c r="B343" s="451" t="s">
        <v>49</v>
      </c>
      <c r="C343" s="452"/>
      <c r="D343" s="455" t="s">
        <v>432</v>
      </c>
      <c r="E343" s="435"/>
      <c r="F343" s="456"/>
      <c r="G343" s="450"/>
      <c r="H343" s="448"/>
      <c r="I343" s="449"/>
    </row>
    <row r="344" spans="1:9" customFormat="1" ht="12.75" outlineLevel="1">
      <c r="A344" s="445"/>
      <c r="B344" s="451" t="s">
        <v>49</v>
      </c>
      <c r="C344" s="452"/>
      <c r="D344" s="455" t="s">
        <v>433</v>
      </c>
      <c r="E344" s="435"/>
      <c r="F344" s="457">
        <f>13*0.26</f>
        <v>3.38</v>
      </c>
      <c r="G344" s="450"/>
      <c r="H344" s="448"/>
      <c r="I344" s="449"/>
    </row>
    <row r="345" spans="1:9" customFormat="1" ht="12.75" outlineLevel="1">
      <c r="A345" s="445"/>
      <c r="B345" s="451" t="s">
        <v>49</v>
      </c>
      <c r="C345" s="452"/>
      <c r="D345" s="455" t="s">
        <v>434</v>
      </c>
      <c r="E345" s="435"/>
      <c r="F345" s="456"/>
      <c r="G345" s="450"/>
      <c r="H345" s="448"/>
      <c r="I345" s="449"/>
    </row>
    <row r="346" spans="1:9" customFormat="1" ht="12.75" outlineLevel="1">
      <c r="A346" s="445"/>
      <c r="B346" s="451" t="s">
        <v>49</v>
      </c>
      <c r="C346" s="452"/>
      <c r="D346" s="455" t="s">
        <v>440</v>
      </c>
      <c r="E346" s="435"/>
      <c r="F346" s="457">
        <f>10*(0.1+0.115)+0.2*0.1*2</f>
        <v>2.19</v>
      </c>
      <c r="G346" s="450"/>
      <c r="H346" s="448"/>
      <c r="I346" s="449"/>
    </row>
    <row r="347" spans="1:9" customFormat="1" ht="12.75" outlineLevel="1">
      <c r="A347" s="445"/>
      <c r="B347" s="451" t="s">
        <v>49</v>
      </c>
      <c r="C347" s="452"/>
      <c r="D347" s="458" t="s">
        <v>50</v>
      </c>
      <c r="E347" s="459"/>
      <c r="F347" s="460">
        <f>SUM(F344:F346)</f>
        <v>5.57</v>
      </c>
      <c r="G347" s="450"/>
      <c r="H347" s="448"/>
      <c r="I347" s="449"/>
    </row>
    <row r="348" spans="1:9" customFormat="1" ht="12.75">
      <c r="B348" s="249"/>
      <c r="C348" s="303"/>
      <c r="D348" s="303"/>
      <c r="E348" s="93"/>
      <c r="F348" s="94"/>
      <c r="G348" s="130"/>
      <c r="H348" s="95"/>
    </row>
    <row r="349" spans="1:9" customFormat="1" ht="24">
      <c r="A349" s="440">
        <v>3</v>
      </c>
      <c r="B349" s="156" t="s">
        <v>46</v>
      </c>
      <c r="C349" s="428">
        <v>712391171</v>
      </c>
      <c r="D349" s="441" t="s">
        <v>429</v>
      </c>
      <c r="E349" s="430" t="s">
        <v>52</v>
      </c>
      <c r="F349" s="442">
        <v>17.88</v>
      </c>
      <c r="G349" s="443"/>
      <c r="H349" s="169">
        <f>F349*G349</f>
        <v>0</v>
      </c>
      <c r="I349" s="69" t="s">
        <v>73</v>
      </c>
    </row>
    <row r="350" spans="1:9" customFormat="1" ht="12.75" outlineLevel="1">
      <c r="B350" s="451" t="s">
        <v>49</v>
      </c>
      <c r="C350" s="303"/>
      <c r="D350" s="174" t="s">
        <v>75</v>
      </c>
      <c r="E350" s="93"/>
      <c r="F350" s="457">
        <v>17.88</v>
      </c>
      <c r="G350" s="130"/>
      <c r="H350" s="95"/>
      <c r="I350" s="444"/>
    </row>
    <row r="351" spans="1:9" customFormat="1" ht="12.75">
      <c r="B351" s="249"/>
      <c r="C351" s="303"/>
      <c r="D351" s="303"/>
      <c r="E351" s="93"/>
      <c r="F351" s="94"/>
      <c r="G351" s="130"/>
      <c r="H351" s="95"/>
      <c r="I351" s="444"/>
    </row>
    <row r="352" spans="1:9" customFormat="1" ht="24">
      <c r="A352" s="440">
        <v>4</v>
      </c>
      <c r="B352" s="156" t="s">
        <v>46</v>
      </c>
      <c r="C352" s="428">
        <v>712391172</v>
      </c>
      <c r="D352" s="441" t="s">
        <v>430</v>
      </c>
      <c r="E352" s="430" t="s">
        <v>52</v>
      </c>
      <c r="F352" s="442">
        <v>15.88</v>
      </c>
      <c r="G352" s="443"/>
      <c r="H352" s="169">
        <f>F352*G352</f>
        <v>0</v>
      </c>
      <c r="I352" s="69" t="s">
        <v>73</v>
      </c>
    </row>
    <row r="353" spans="1:9" customFormat="1" ht="12.75" outlineLevel="1">
      <c r="B353" s="451" t="s">
        <v>49</v>
      </c>
      <c r="D353" s="174" t="s">
        <v>435</v>
      </c>
      <c r="E353" s="461"/>
      <c r="F353" s="461"/>
    </row>
    <row r="354" spans="1:9" customFormat="1" ht="12.75" outlineLevel="1">
      <c r="B354" s="451" t="s">
        <v>49</v>
      </c>
      <c r="D354" s="461" t="s">
        <v>436</v>
      </c>
      <c r="E354" s="461"/>
      <c r="F354" s="461">
        <f>17.88-0.2*10</f>
        <v>15.88</v>
      </c>
    </row>
    <row r="355" spans="1:9" customFormat="1" ht="12.75">
      <c r="B355" s="451"/>
      <c r="D355" s="461"/>
      <c r="E355" s="461"/>
      <c r="F355" s="461"/>
    </row>
    <row r="356" spans="1:9" customFormat="1" ht="24">
      <c r="A356" s="440">
        <v>5</v>
      </c>
      <c r="B356" s="156" t="s">
        <v>46</v>
      </c>
      <c r="C356" s="428">
        <v>712391171</v>
      </c>
      <c r="D356" s="441" t="s">
        <v>437</v>
      </c>
      <c r="E356" s="430" t="s">
        <v>52</v>
      </c>
      <c r="F356" s="442">
        <v>1.2</v>
      </c>
      <c r="G356" s="443"/>
      <c r="H356" s="169">
        <f>F356*G356</f>
        <v>0</v>
      </c>
      <c r="I356" s="69" t="s">
        <v>73</v>
      </c>
    </row>
    <row r="357" spans="1:9" customFormat="1" ht="12.75" outlineLevel="1">
      <c r="B357" s="451" t="s">
        <v>49</v>
      </c>
      <c r="D357" s="461" t="s">
        <v>438</v>
      </c>
      <c r="E357" s="461"/>
      <c r="F357" s="461"/>
    </row>
    <row r="358" spans="1:9" customFormat="1" ht="12.75" outlineLevel="1">
      <c r="B358" s="451" t="s">
        <v>49</v>
      </c>
      <c r="D358" s="461" t="s">
        <v>439</v>
      </c>
      <c r="E358" s="461"/>
      <c r="F358" s="462">
        <f>10*0.12</f>
        <v>1.2</v>
      </c>
    </row>
    <row r="359" spans="1:9" customFormat="1" ht="12.75">
      <c r="D359" s="286"/>
    </row>
    <row r="360" spans="1:9" customFormat="1" ht="24">
      <c r="A360" s="108">
        <v>6</v>
      </c>
      <c r="B360" s="108" t="s">
        <v>54</v>
      </c>
      <c r="C360" s="142" t="s">
        <v>248</v>
      </c>
      <c r="D360" s="109" t="s">
        <v>243</v>
      </c>
      <c r="E360" s="143" t="s">
        <v>52</v>
      </c>
      <c r="F360" s="184">
        <v>36.71</v>
      </c>
      <c r="G360" s="324"/>
      <c r="H360" s="258">
        <f>F360*G360</f>
        <v>0</v>
      </c>
      <c r="I360" s="170"/>
    </row>
    <row r="361" spans="1:9" customFormat="1" ht="12.75" outlineLevel="1">
      <c r="B361" s="451" t="s">
        <v>49</v>
      </c>
      <c r="D361" s="461" t="s">
        <v>441</v>
      </c>
    </row>
    <row r="362" spans="1:9" customFormat="1" ht="12.75" outlineLevel="1">
      <c r="B362" s="451" t="s">
        <v>49</v>
      </c>
      <c r="D362" s="461" t="s">
        <v>442</v>
      </c>
      <c r="F362" s="462">
        <f>(17.88+15.88+1.2)*1.05</f>
        <v>36.71</v>
      </c>
    </row>
    <row r="363" spans="1:9" customFormat="1" ht="12.75">
      <c r="D363" s="286"/>
    </row>
    <row r="364" spans="1:9" customFormat="1" ht="12.75">
      <c r="A364" s="108">
        <v>7</v>
      </c>
      <c r="B364" s="108" t="s">
        <v>46</v>
      </c>
      <c r="C364" s="142" t="s">
        <v>443</v>
      </c>
      <c r="D364" s="109" t="s">
        <v>447</v>
      </c>
      <c r="E364" s="143" t="s">
        <v>47</v>
      </c>
      <c r="F364" s="184">
        <v>10</v>
      </c>
      <c r="G364" s="324"/>
      <c r="H364" s="258">
        <f>F364*G364</f>
        <v>0</v>
      </c>
      <c r="I364" s="170"/>
    </row>
    <row r="365" spans="1:9" customFormat="1" ht="12.75" outlineLevel="1">
      <c r="B365" s="451" t="s">
        <v>49</v>
      </c>
      <c r="D365" s="461" t="s">
        <v>444</v>
      </c>
    </row>
    <row r="366" spans="1:9" customFormat="1" ht="12.75">
      <c r="D366" s="286"/>
    </row>
    <row r="367" spans="1:9" customFormat="1" ht="12.75">
      <c r="A367" s="108">
        <v>8</v>
      </c>
      <c r="B367" s="108" t="s">
        <v>46</v>
      </c>
      <c r="C367" s="142" t="s">
        <v>450</v>
      </c>
      <c r="D367" s="109" t="s">
        <v>448</v>
      </c>
      <c r="E367" s="143" t="s">
        <v>47</v>
      </c>
      <c r="F367" s="184">
        <v>13</v>
      </c>
      <c r="G367" s="324"/>
      <c r="H367" s="258">
        <f>F367*G367</f>
        <v>0</v>
      </c>
      <c r="I367" s="170"/>
    </row>
    <row r="368" spans="1:9" customFormat="1" ht="12.75" outlineLevel="1">
      <c r="B368" s="451" t="s">
        <v>49</v>
      </c>
      <c r="D368" s="461" t="s">
        <v>445</v>
      </c>
    </row>
    <row r="369" spans="1:9" customFormat="1" ht="12.75">
      <c r="D369" s="286"/>
    </row>
    <row r="370" spans="1:9" customFormat="1" ht="12.75">
      <c r="A370" s="108">
        <v>9</v>
      </c>
      <c r="B370" s="108" t="s">
        <v>46</v>
      </c>
      <c r="C370" s="142" t="s">
        <v>451</v>
      </c>
      <c r="D370" s="109" t="s">
        <v>449</v>
      </c>
      <c r="E370" s="143" t="s">
        <v>47</v>
      </c>
      <c r="F370" s="184">
        <v>0.2</v>
      </c>
      <c r="G370" s="324"/>
      <c r="H370" s="258">
        <f>F370*G370</f>
        <v>0</v>
      </c>
      <c r="I370" s="170"/>
    </row>
    <row r="371" spans="1:9" customFormat="1" ht="12.75" outlineLevel="1">
      <c r="B371" s="451" t="s">
        <v>49</v>
      </c>
      <c r="D371" s="461" t="s">
        <v>446</v>
      </c>
    </row>
    <row r="372" spans="1:9" customFormat="1" ht="12.75">
      <c r="D372" s="286"/>
    </row>
    <row r="373" spans="1:9" customFormat="1" ht="24">
      <c r="A373" s="108">
        <v>10</v>
      </c>
      <c r="B373" s="108" t="s">
        <v>46</v>
      </c>
      <c r="C373" s="142" t="s">
        <v>452</v>
      </c>
      <c r="D373" s="109" t="s">
        <v>453</v>
      </c>
      <c r="E373" s="143" t="s">
        <v>55</v>
      </c>
      <c r="F373" s="184">
        <v>1</v>
      </c>
      <c r="G373" s="324"/>
      <c r="H373" s="258">
        <f>F373*G373</f>
        <v>0</v>
      </c>
      <c r="I373" s="170"/>
    </row>
    <row r="374" spans="1:9" customFormat="1" ht="12.75">
      <c r="D374" s="286"/>
    </row>
    <row r="375" spans="1:9" customFormat="1" ht="12.75">
      <c r="A375" s="156">
        <v>9</v>
      </c>
      <c r="B375" s="156" t="s">
        <v>46</v>
      </c>
      <c r="C375" s="108">
        <v>998712201</v>
      </c>
      <c r="D375" s="301" t="s">
        <v>454</v>
      </c>
      <c r="E375" s="216" t="s">
        <v>57</v>
      </c>
      <c r="F375" s="302">
        <f>SUM(H328:H373)*0.01</f>
        <v>0</v>
      </c>
      <c r="G375" s="144"/>
      <c r="H375" s="169">
        <f>F375*G375</f>
        <v>0</v>
      </c>
      <c r="I375" s="69" t="s">
        <v>58</v>
      </c>
    </row>
    <row r="376" spans="1:9" customFormat="1" ht="12.75">
      <c r="D376" s="286"/>
    </row>
    <row r="377" spans="1:9">
      <c r="A377" s="74"/>
      <c r="B377" s="249" t="s">
        <v>45</v>
      </c>
      <c r="C377" s="303">
        <v>713</v>
      </c>
      <c r="D377" s="303" t="s">
        <v>59</v>
      </c>
      <c r="E377" s="93"/>
      <c r="F377" s="94"/>
      <c r="G377" s="130"/>
      <c r="H377" s="95">
        <f>SUM(H378:H455)</f>
        <v>0</v>
      </c>
      <c r="I377" s="25"/>
    </row>
    <row r="378" spans="1:9" ht="24">
      <c r="A378" s="81">
        <v>1</v>
      </c>
      <c r="B378" s="81" t="s">
        <v>46</v>
      </c>
      <c r="C378" s="81">
        <v>71312111</v>
      </c>
      <c r="D378" s="88" t="s">
        <v>87</v>
      </c>
      <c r="E378" s="89" t="s">
        <v>52</v>
      </c>
      <c r="F378" s="90">
        <v>18.329999999999998</v>
      </c>
      <c r="G378" s="129"/>
      <c r="H378" s="169">
        <f>F378*G378</f>
        <v>0</v>
      </c>
      <c r="I378" s="69" t="s">
        <v>58</v>
      </c>
    </row>
    <row r="379" spans="1:9" outlineLevel="1">
      <c r="A379" s="318"/>
      <c r="B379" s="314" t="s">
        <v>49</v>
      </c>
      <c r="C379" s="179"/>
      <c r="D379" s="315" t="s">
        <v>193</v>
      </c>
      <c r="E379" s="93"/>
      <c r="F379" s="295"/>
      <c r="G379" s="130"/>
      <c r="H379" s="95"/>
      <c r="I379" s="25"/>
    </row>
    <row r="380" spans="1:9" outlineLevel="1">
      <c r="A380" s="318"/>
      <c r="B380" s="314" t="s">
        <v>49</v>
      </c>
      <c r="C380" s="179"/>
      <c r="D380" s="137" t="s">
        <v>194</v>
      </c>
      <c r="E380" s="93"/>
      <c r="F380" s="310">
        <f>(8.99+0.2)*0.5*3.985+0.2*0.15*0.5</f>
        <v>18.329999999999998</v>
      </c>
      <c r="G380" s="130"/>
      <c r="H380" s="95"/>
      <c r="I380" s="25"/>
    </row>
    <row r="381" spans="1:9">
      <c r="A381" s="74"/>
      <c r="B381" s="92"/>
      <c r="C381" s="179"/>
      <c r="D381" s="137"/>
      <c r="E381" s="93"/>
      <c r="F381" s="310"/>
      <c r="G381" s="130"/>
      <c r="H381" s="95"/>
      <c r="I381" s="25"/>
    </row>
    <row r="382" spans="1:9" ht="12" customHeight="1">
      <c r="A382" s="108">
        <v>2</v>
      </c>
      <c r="B382" s="156" t="s">
        <v>54</v>
      </c>
      <c r="C382" s="81" t="s">
        <v>60</v>
      </c>
      <c r="D382" s="316" t="s">
        <v>195</v>
      </c>
      <c r="E382" s="216" t="s">
        <v>52</v>
      </c>
      <c r="F382" s="273">
        <v>18.7</v>
      </c>
      <c r="G382" s="282"/>
      <c r="H382" s="169">
        <f>F382*G382</f>
        <v>0</v>
      </c>
      <c r="I382" s="170"/>
    </row>
    <row r="383" spans="1:9" outlineLevel="1">
      <c r="A383" s="74"/>
      <c r="B383" s="314" t="s">
        <v>49</v>
      </c>
      <c r="C383" s="179"/>
      <c r="D383" s="137" t="s">
        <v>196</v>
      </c>
      <c r="E383" s="93"/>
      <c r="F383" s="94"/>
      <c r="G383" s="130"/>
      <c r="H383" s="95"/>
      <c r="I383" s="25"/>
    </row>
    <row r="384" spans="1:9" outlineLevel="1">
      <c r="A384" s="74"/>
      <c r="B384" s="314" t="s">
        <v>49</v>
      </c>
      <c r="C384" s="179"/>
      <c r="D384" s="137" t="s">
        <v>197</v>
      </c>
      <c r="E384" s="93"/>
      <c r="F384" s="310">
        <f>18.33*1.02</f>
        <v>18.7</v>
      </c>
      <c r="G384" s="130"/>
      <c r="H384" s="95"/>
      <c r="I384" s="25"/>
    </row>
    <row r="385" spans="1:9">
      <c r="A385" s="74"/>
      <c r="B385" s="92"/>
      <c r="C385" s="179"/>
      <c r="D385" s="137"/>
      <c r="E385" s="93"/>
      <c r="F385" s="94"/>
      <c r="G385" s="130"/>
      <c r="H385" s="95"/>
      <c r="I385" s="25"/>
    </row>
    <row r="386" spans="1:9" ht="24">
      <c r="A386" s="81">
        <v>3</v>
      </c>
      <c r="B386" s="81" t="s">
        <v>46</v>
      </c>
      <c r="C386" s="81">
        <v>713111111</v>
      </c>
      <c r="D386" s="88" t="s">
        <v>204</v>
      </c>
      <c r="E386" s="89" t="s">
        <v>52</v>
      </c>
      <c r="F386" s="90">
        <v>38.81</v>
      </c>
      <c r="G386" s="129"/>
      <c r="H386" s="82">
        <f>F386*G386</f>
        <v>0</v>
      </c>
      <c r="I386" s="69" t="s">
        <v>58</v>
      </c>
    </row>
    <row r="387" spans="1:9" outlineLevel="1">
      <c r="A387" s="74"/>
      <c r="B387" s="314" t="s">
        <v>49</v>
      </c>
      <c r="C387" s="179"/>
      <c r="D387" s="137" t="s">
        <v>198</v>
      </c>
      <c r="E387" s="93"/>
      <c r="F387" s="94"/>
      <c r="G387" s="130"/>
      <c r="H387" s="95"/>
      <c r="I387" s="25"/>
    </row>
    <row r="388" spans="1:9" outlineLevel="1">
      <c r="A388" s="74"/>
      <c r="B388" s="314" t="s">
        <v>49</v>
      </c>
      <c r="C388" s="179"/>
      <c r="D388" s="137" t="s">
        <v>199</v>
      </c>
      <c r="E388" s="93"/>
      <c r="F388" s="94"/>
      <c r="G388" s="130"/>
      <c r="H388" s="95"/>
      <c r="I388" s="25"/>
    </row>
    <row r="389" spans="1:9" ht="12" customHeight="1" outlineLevel="1">
      <c r="A389" s="74"/>
      <c r="B389" s="314" t="s">
        <v>49</v>
      </c>
      <c r="C389" s="314"/>
      <c r="D389" s="115" t="s">
        <v>201</v>
      </c>
      <c r="E389" s="93"/>
      <c r="F389" s="117">
        <f>(3.79+0.22)*0.5*8.91+0.189*0.2*0.5-0.4*0.22*11</f>
        <v>16.920000000000002</v>
      </c>
      <c r="G389" s="130"/>
      <c r="H389" s="95"/>
      <c r="I389" s="25"/>
    </row>
    <row r="390" spans="1:9" ht="12" customHeight="1" outlineLevel="1">
      <c r="A390" s="74"/>
      <c r="B390" s="314" t="s">
        <v>49</v>
      </c>
      <c r="C390" s="314"/>
      <c r="D390" s="115" t="s">
        <v>205</v>
      </c>
      <c r="E390" s="93"/>
      <c r="F390" s="117"/>
      <c r="G390" s="130"/>
      <c r="H390" s="95"/>
      <c r="I390" s="25"/>
    </row>
    <row r="391" spans="1:9" ht="12" customHeight="1" outlineLevel="1">
      <c r="A391" s="74"/>
      <c r="B391" s="314" t="s">
        <v>49</v>
      </c>
      <c r="C391" s="314"/>
      <c r="D391" s="115" t="s">
        <v>201</v>
      </c>
      <c r="E391" s="93"/>
      <c r="F391" s="117">
        <f>(3.79+0.22)*0.5*8.91+0.189*0.2*0.5-0.4*0.22*11</f>
        <v>16.920000000000002</v>
      </c>
      <c r="G391" s="130"/>
      <c r="H391" s="95"/>
      <c r="I391" s="25"/>
    </row>
    <row r="392" spans="1:9" ht="12" customHeight="1" outlineLevel="1">
      <c r="A392" s="74"/>
      <c r="B392" s="314" t="s">
        <v>49</v>
      </c>
      <c r="C392" s="314"/>
      <c r="D392" s="115" t="s">
        <v>202</v>
      </c>
      <c r="E392" s="93"/>
      <c r="F392" s="117"/>
      <c r="G392" s="130"/>
      <c r="H392" s="95"/>
      <c r="I392" s="25"/>
    </row>
    <row r="393" spans="1:9" ht="12" customHeight="1" outlineLevel="1">
      <c r="A393" s="74"/>
      <c r="B393" s="314" t="s">
        <v>49</v>
      </c>
      <c r="C393" s="314"/>
      <c r="D393" s="115" t="s">
        <v>203</v>
      </c>
      <c r="E393" s="93"/>
      <c r="F393" s="117">
        <f>0.4*0.22*11</f>
        <v>0.97</v>
      </c>
      <c r="G393" s="130"/>
      <c r="H393" s="95"/>
      <c r="I393" s="25"/>
    </row>
    <row r="394" spans="1:9" outlineLevel="1">
      <c r="A394" s="74"/>
      <c r="B394" s="314" t="s">
        <v>49</v>
      </c>
      <c r="C394" s="314"/>
      <c r="D394" s="115" t="s">
        <v>200</v>
      </c>
      <c r="E394" s="93"/>
      <c r="F394" s="117"/>
      <c r="G394" s="130"/>
      <c r="H394" s="95"/>
      <c r="I394" s="25"/>
    </row>
    <row r="395" spans="1:9" outlineLevel="1">
      <c r="A395" s="74"/>
      <c r="B395" s="314" t="s">
        <v>49</v>
      </c>
      <c r="C395" s="314"/>
      <c r="D395" s="137" t="s">
        <v>150</v>
      </c>
      <c r="E395" s="93"/>
      <c r="F395" s="117">
        <f>(9.785+0.22)*0.2</f>
        <v>2</v>
      </c>
      <c r="G395" s="130"/>
      <c r="H395" s="95"/>
      <c r="I395" s="25"/>
    </row>
    <row r="396" spans="1:9" outlineLevel="1">
      <c r="A396" s="74"/>
      <c r="B396" s="314" t="s">
        <v>49</v>
      </c>
      <c r="C396" s="314"/>
      <c r="D396" s="115" t="s">
        <v>219</v>
      </c>
      <c r="E396" s="93"/>
      <c r="F396" s="117"/>
      <c r="G396" s="130"/>
      <c r="H396" s="95"/>
      <c r="I396" s="25"/>
    </row>
    <row r="397" spans="1:9" outlineLevel="1">
      <c r="A397" s="74"/>
      <c r="B397" s="314" t="s">
        <v>49</v>
      </c>
      <c r="C397" s="314"/>
      <c r="D397" s="137" t="s">
        <v>165</v>
      </c>
      <c r="E397" s="93"/>
      <c r="F397" s="117"/>
      <c r="G397" s="130"/>
      <c r="H397" s="95"/>
      <c r="I397" s="25"/>
    </row>
    <row r="398" spans="1:9" outlineLevel="1">
      <c r="A398" s="74"/>
      <c r="B398" s="314" t="s">
        <v>49</v>
      </c>
      <c r="C398" s="314"/>
      <c r="D398" s="137" t="s">
        <v>150</v>
      </c>
      <c r="E398" s="93"/>
      <c r="F398" s="117">
        <f>(9.785+0.22)*0.2</f>
        <v>2</v>
      </c>
      <c r="G398" s="130"/>
      <c r="H398" s="95"/>
      <c r="I398" s="25"/>
    </row>
    <row r="399" spans="1:9" outlineLevel="1">
      <c r="A399" s="74"/>
      <c r="B399" s="314" t="s">
        <v>49</v>
      </c>
      <c r="C399" s="314"/>
      <c r="D399" s="159" t="s">
        <v>50</v>
      </c>
      <c r="E399" s="162"/>
      <c r="F399" s="167">
        <f>SUM(F389:F398)</f>
        <v>38.81</v>
      </c>
      <c r="G399" s="130"/>
      <c r="H399" s="95"/>
      <c r="I399" s="25"/>
    </row>
    <row r="400" spans="1:9">
      <c r="A400" s="74"/>
      <c r="B400" s="92"/>
      <c r="C400" s="179"/>
      <c r="D400" s="115"/>
      <c r="E400" s="93"/>
      <c r="F400" s="117"/>
      <c r="G400" s="130"/>
      <c r="H400" s="95"/>
      <c r="I400" s="25"/>
    </row>
    <row r="401" spans="1:9" ht="36" customHeight="1">
      <c r="A401" s="108">
        <v>2</v>
      </c>
      <c r="B401" s="156" t="s">
        <v>54</v>
      </c>
      <c r="C401" s="81" t="s">
        <v>209</v>
      </c>
      <c r="D401" s="316" t="s">
        <v>208</v>
      </c>
      <c r="E401" s="216" t="s">
        <v>52</v>
      </c>
      <c r="F401" s="273">
        <v>17.260000000000002</v>
      </c>
      <c r="G401" s="282"/>
      <c r="H401" s="169">
        <f>F401*G401</f>
        <v>0</v>
      </c>
      <c r="I401" s="170"/>
    </row>
    <row r="402" spans="1:9" outlineLevel="1">
      <c r="A402" s="74"/>
      <c r="B402" s="314" t="s">
        <v>49</v>
      </c>
      <c r="C402" s="179"/>
      <c r="D402" s="115" t="s">
        <v>206</v>
      </c>
      <c r="E402" s="93"/>
      <c r="F402" s="117"/>
      <c r="G402" s="130"/>
      <c r="H402" s="95"/>
      <c r="I402" s="25"/>
    </row>
    <row r="403" spans="1:9" outlineLevel="1">
      <c r="A403" s="74"/>
      <c r="B403" s="314" t="s">
        <v>49</v>
      </c>
      <c r="C403" s="179"/>
      <c r="D403" s="115" t="s">
        <v>207</v>
      </c>
      <c r="E403" s="93"/>
      <c r="F403" s="117">
        <f>16.92*1.02</f>
        <v>17.260000000000002</v>
      </c>
      <c r="G403" s="130"/>
      <c r="H403" s="95"/>
      <c r="I403" s="25"/>
    </row>
    <row r="404" spans="1:9">
      <c r="A404" s="74"/>
      <c r="B404" s="92"/>
      <c r="C404" s="179"/>
      <c r="D404" s="115"/>
      <c r="E404" s="93"/>
      <c r="F404" s="117"/>
      <c r="G404" s="130"/>
      <c r="H404" s="95"/>
      <c r="I404" s="25"/>
    </row>
    <row r="405" spans="1:9" ht="36" customHeight="1">
      <c r="A405" s="108">
        <v>3</v>
      </c>
      <c r="B405" s="156" t="s">
        <v>54</v>
      </c>
      <c r="C405" s="81" t="s">
        <v>210</v>
      </c>
      <c r="D405" s="316" t="s">
        <v>211</v>
      </c>
      <c r="E405" s="216" t="s">
        <v>52</v>
      </c>
      <c r="F405" s="273">
        <v>19.3</v>
      </c>
      <c r="G405" s="282"/>
      <c r="H405" s="169">
        <f>F405*G405</f>
        <v>0</v>
      </c>
      <c r="I405" s="170"/>
    </row>
    <row r="406" spans="1:9" outlineLevel="1">
      <c r="A406" s="74"/>
      <c r="B406" s="314" t="s">
        <v>49</v>
      </c>
      <c r="C406" s="179"/>
      <c r="D406" s="115" t="s">
        <v>206</v>
      </c>
      <c r="E406" s="93"/>
      <c r="F406" s="117"/>
      <c r="G406" s="130"/>
      <c r="H406" s="95"/>
      <c r="I406" s="25"/>
    </row>
    <row r="407" spans="1:9" outlineLevel="1">
      <c r="A407" s="74"/>
      <c r="B407" s="314" t="s">
        <v>49</v>
      </c>
      <c r="C407" s="179"/>
      <c r="D407" s="115" t="s">
        <v>207</v>
      </c>
      <c r="E407" s="93"/>
      <c r="F407" s="117">
        <f>16.92*1.02</f>
        <v>17.260000000000002</v>
      </c>
      <c r="G407" s="130"/>
      <c r="H407" s="95"/>
      <c r="I407" s="25"/>
    </row>
    <row r="408" spans="1:9" outlineLevel="1">
      <c r="A408" s="74"/>
      <c r="B408" s="314" t="s">
        <v>49</v>
      </c>
      <c r="C408" s="179"/>
      <c r="D408" s="115" t="s">
        <v>200</v>
      </c>
      <c r="E408" s="93"/>
      <c r="F408" s="117"/>
      <c r="G408" s="130"/>
      <c r="H408" s="95"/>
      <c r="I408" s="25"/>
    </row>
    <row r="409" spans="1:9" outlineLevel="1">
      <c r="A409" s="74"/>
      <c r="B409" s="314" t="s">
        <v>49</v>
      </c>
      <c r="C409" s="179"/>
      <c r="D409" s="137" t="s">
        <v>212</v>
      </c>
      <c r="E409" s="93"/>
      <c r="F409" s="117">
        <f>(9.785+0.22)*0.2*1.02</f>
        <v>2.04</v>
      </c>
      <c r="G409" s="130"/>
      <c r="H409" s="95"/>
      <c r="I409" s="25"/>
    </row>
    <row r="410" spans="1:9" outlineLevel="1">
      <c r="A410" s="74"/>
      <c r="B410" s="314" t="s">
        <v>49</v>
      </c>
      <c r="C410" s="179"/>
      <c r="D410" s="317" t="s">
        <v>50</v>
      </c>
      <c r="E410" s="162"/>
      <c r="F410" s="167">
        <f>SUM(F407:F409)</f>
        <v>19.3</v>
      </c>
      <c r="G410" s="130"/>
      <c r="H410" s="95"/>
      <c r="I410" s="25"/>
    </row>
    <row r="411" spans="1:9">
      <c r="A411" s="74"/>
      <c r="B411" s="92"/>
      <c r="C411" s="179"/>
      <c r="D411" s="115"/>
      <c r="E411" s="93"/>
      <c r="F411" s="117"/>
      <c r="G411" s="130"/>
      <c r="H411" s="95"/>
      <c r="I411" s="25"/>
    </row>
    <row r="412" spans="1:9" ht="48" customHeight="1">
      <c r="A412" s="108">
        <v>4</v>
      </c>
      <c r="B412" s="156" t="s">
        <v>54</v>
      </c>
      <c r="C412" s="81" t="s">
        <v>213</v>
      </c>
      <c r="D412" s="316" t="s">
        <v>257</v>
      </c>
      <c r="E412" s="216" t="s">
        <v>52</v>
      </c>
      <c r="F412" s="273">
        <v>2.04</v>
      </c>
      <c r="G412" s="282"/>
      <c r="H412" s="169">
        <f>F412*G412</f>
        <v>0</v>
      </c>
      <c r="I412" s="170"/>
    </row>
    <row r="413" spans="1:9" outlineLevel="1">
      <c r="A413" s="74"/>
      <c r="B413" s="314" t="s">
        <v>49</v>
      </c>
      <c r="C413" s="179"/>
      <c r="D413" s="137" t="s">
        <v>212</v>
      </c>
      <c r="E413" s="93"/>
      <c r="F413" s="117">
        <f>(9.785+0.22)*0.2*1.02</f>
        <v>2.04</v>
      </c>
      <c r="G413" s="130"/>
      <c r="H413" s="95"/>
      <c r="I413" s="25"/>
    </row>
    <row r="414" spans="1:9">
      <c r="A414" s="74"/>
      <c r="B414" s="92"/>
      <c r="C414" s="179"/>
      <c r="D414" s="115"/>
      <c r="E414" s="93"/>
      <c r="F414" s="117"/>
      <c r="G414" s="130"/>
      <c r="H414" s="95"/>
      <c r="I414" s="25"/>
    </row>
    <row r="415" spans="1:9">
      <c r="A415" s="108">
        <v>5</v>
      </c>
      <c r="B415" s="156" t="s">
        <v>54</v>
      </c>
      <c r="C415" s="81" t="s">
        <v>221</v>
      </c>
      <c r="D415" s="316" t="s">
        <v>222</v>
      </c>
      <c r="E415" s="216" t="s">
        <v>52</v>
      </c>
      <c r="F415" s="273">
        <v>0.97</v>
      </c>
      <c r="G415" s="282"/>
      <c r="H415" s="169">
        <f>F415*G415</f>
        <v>0</v>
      </c>
      <c r="I415" s="170"/>
    </row>
    <row r="416" spans="1:9" outlineLevel="1">
      <c r="A416" s="74"/>
      <c r="B416" s="314" t="s">
        <v>49</v>
      </c>
      <c r="C416" s="179"/>
      <c r="D416" s="115" t="s">
        <v>220</v>
      </c>
      <c r="E416" s="93"/>
      <c r="F416" s="117">
        <f>0.4*0.22*11</f>
        <v>0.97</v>
      </c>
      <c r="G416" s="130"/>
      <c r="H416" s="95"/>
      <c r="I416" s="25"/>
    </row>
    <row r="417" spans="1:9">
      <c r="A417" s="74"/>
      <c r="B417" s="92"/>
      <c r="C417" s="179"/>
      <c r="D417" s="115"/>
      <c r="E417" s="93"/>
      <c r="F417" s="117"/>
      <c r="G417" s="130"/>
      <c r="H417" s="95"/>
      <c r="I417" s="25"/>
    </row>
    <row r="418" spans="1:9">
      <c r="A418" s="81">
        <v>6</v>
      </c>
      <c r="B418" s="81" t="s">
        <v>46</v>
      </c>
      <c r="C418" s="81">
        <v>713131151</v>
      </c>
      <c r="D418" s="88" t="s">
        <v>223</v>
      </c>
      <c r="E418" s="89" t="s">
        <v>52</v>
      </c>
      <c r="F418" s="90">
        <v>3.5</v>
      </c>
      <c r="G418" s="129"/>
      <c r="H418" s="82">
        <f>F418*G418</f>
        <v>0</v>
      </c>
      <c r="I418" s="69" t="s">
        <v>58</v>
      </c>
    </row>
    <row r="419" spans="1:9" outlineLevel="1">
      <c r="A419" s="74"/>
      <c r="B419" s="314" t="s">
        <v>49</v>
      </c>
      <c r="C419" s="179"/>
      <c r="D419" s="196" t="s">
        <v>224</v>
      </c>
      <c r="E419" s="130"/>
      <c r="F419" s="117"/>
      <c r="G419" s="130"/>
      <c r="H419" s="95"/>
      <c r="I419" s="25"/>
    </row>
    <row r="420" spans="1:9" outlineLevel="1">
      <c r="A420" s="74"/>
      <c r="B420" s="314" t="s">
        <v>49</v>
      </c>
      <c r="C420" s="179"/>
      <c r="D420" s="196" t="s">
        <v>231</v>
      </c>
      <c r="E420" s="130"/>
      <c r="F420" s="117">
        <f>(9.782+0.22)*0.1</f>
        <v>1</v>
      </c>
      <c r="G420" s="130"/>
      <c r="H420" s="95"/>
      <c r="I420" s="25"/>
    </row>
    <row r="421" spans="1:9" outlineLevel="1">
      <c r="A421" s="74"/>
      <c r="B421" s="314" t="s">
        <v>49</v>
      </c>
      <c r="C421" s="179"/>
      <c r="D421" s="196" t="s">
        <v>225</v>
      </c>
      <c r="E421" s="130"/>
      <c r="F421" s="117"/>
      <c r="G421" s="130"/>
      <c r="H421" s="95"/>
      <c r="I421" s="25"/>
    </row>
    <row r="422" spans="1:9" outlineLevel="1">
      <c r="A422" s="74"/>
      <c r="B422" s="314" t="s">
        <v>49</v>
      </c>
      <c r="C422" s="179"/>
      <c r="D422" s="196" t="s">
        <v>226</v>
      </c>
      <c r="E422" s="130"/>
      <c r="F422" s="117"/>
      <c r="G422" s="130"/>
      <c r="H422" s="95"/>
      <c r="I422" s="25"/>
    </row>
    <row r="423" spans="1:9" outlineLevel="1">
      <c r="A423" s="74"/>
      <c r="B423" s="314" t="s">
        <v>49</v>
      </c>
      <c r="C423" s="179"/>
      <c r="D423" s="196" t="s">
        <v>227</v>
      </c>
      <c r="E423" s="130"/>
      <c r="F423" s="117">
        <f>12*0.05</f>
        <v>0.6</v>
      </c>
      <c r="G423" s="130"/>
      <c r="H423" s="95"/>
      <c r="I423" s="25"/>
    </row>
    <row r="424" spans="1:9" outlineLevel="1">
      <c r="A424" s="74"/>
      <c r="B424" s="314" t="s">
        <v>49</v>
      </c>
      <c r="C424" s="179"/>
      <c r="D424" s="196" t="s">
        <v>228</v>
      </c>
      <c r="E424" s="130"/>
      <c r="F424" s="117"/>
      <c r="G424" s="130"/>
      <c r="H424" s="95"/>
      <c r="I424" s="25"/>
    </row>
    <row r="425" spans="1:9" outlineLevel="1">
      <c r="A425" s="74"/>
      <c r="B425" s="314" t="s">
        <v>49</v>
      </c>
      <c r="C425" s="179"/>
      <c r="D425" s="196" t="s">
        <v>230</v>
      </c>
      <c r="E425" s="130"/>
      <c r="F425" s="132"/>
      <c r="G425" s="130"/>
      <c r="H425" s="95"/>
      <c r="I425" s="25"/>
    </row>
    <row r="426" spans="1:9" outlineLevel="1">
      <c r="A426" s="74"/>
      <c r="B426" s="314" t="s">
        <v>49</v>
      </c>
      <c r="C426" s="179"/>
      <c r="D426" s="265" t="s">
        <v>229</v>
      </c>
      <c r="E426" s="130"/>
      <c r="F426" s="139">
        <f>10*0.19</f>
        <v>1.9</v>
      </c>
      <c r="G426" s="130"/>
      <c r="H426" s="95"/>
      <c r="I426" s="25"/>
    </row>
    <row r="427" spans="1:9" outlineLevel="1">
      <c r="A427" s="74"/>
      <c r="B427" s="314" t="s">
        <v>49</v>
      </c>
      <c r="C427" s="179"/>
      <c r="D427" s="323" t="s">
        <v>50</v>
      </c>
      <c r="E427" s="321"/>
      <c r="F427" s="322">
        <f>SUM(F420:F426)</f>
        <v>3.5</v>
      </c>
      <c r="G427" s="130"/>
      <c r="H427" s="95"/>
      <c r="I427" s="25"/>
    </row>
    <row r="428" spans="1:9">
      <c r="A428" s="74"/>
      <c r="B428" s="92"/>
      <c r="C428" s="179"/>
      <c r="D428" s="265"/>
      <c r="E428" s="319"/>
      <c r="F428" s="320"/>
      <c r="G428" s="130"/>
      <c r="H428" s="95"/>
      <c r="I428" s="25"/>
    </row>
    <row r="429" spans="1:9">
      <c r="A429" s="108">
        <v>7</v>
      </c>
      <c r="B429" s="156" t="s">
        <v>54</v>
      </c>
      <c r="C429" s="81" t="s">
        <v>232</v>
      </c>
      <c r="D429" s="316" t="s">
        <v>233</v>
      </c>
      <c r="E429" s="216" t="s">
        <v>52</v>
      </c>
      <c r="F429" s="273">
        <v>1.02</v>
      </c>
      <c r="G429" s="282"/>
      <c r="H429" s="169">
        <f>F429*G429</f>
        <v>0</v>
      </c>
      <c r="I429" s="170"/>
    </row>
    <row r="430" spans="1:9" outlineLevel="1">
      <c r="A430" s="74"/>
      <c r="B430" s="314" t="s">
        <v>49</v>
      </c>
      <c r="C430" s="179"/>
      <c r="D430" s="265" t="s">
        <v>234</v>
      </c>
      <c r="E430" s="319"/>
      <c r="F430" s="145">
        <f>1*1.02</f>
        <v>1.02</v>
      </c>
      <c r="G430" s="130"/>
      <c r="H430" s="95"/>
      <c r="I430" s="25"/>
    </row>
    <row r="431" spans="1:9">
      <c r="A431" s="74"/>
      <c r="B431" s="92"/>
      <c r="C431" s="179"/>
      <c r="D431" s="265"/>
      <c r="E431" s="319"/>
      <c r="F431" s="320"/>
      <c r="G431" s="130"/>
      <c r="H431" s="95"/>
      <c r="I431" s="25"/>
    </row>
    <row r="432" spans="1:9">
      <c r="A432" s="108">
        <v>8</v>
      </c>
      <c r="B432" s="156" t="s">
        <v>54</v>
      </c>
      <c r="C432" s="81" t="s">
        <v>237</v>
      </c>
      <c r="D432" s="316" t="s">
        <v>239</v>
      </c>
      <c r="E432" s="216" t="s">
        <v>52</v>
      </c>
      <c r="F432" s="273">
        <v>0.61</v>
      </c>
      <c r="G432" s="282"/>
      <c r="H432" s="169">
        <f>F432*G432</f>
        <v>0</v>
      </c>
      <c r="I432" s="170"/>
    </row>
    <row r="433" spans="1:9" outlineLevel="1">
      <c r="A433" s="74"/>
      <c r="B433" s="314" t="s">
        <v>49</v>
      </c>
      <c r="C433" s="179"/>
      <c r="D433" s="265" t="s">
        <v>235</v>
      </c>
      <c r="E433" s="319"/>
      <c r="F433" s="145">
        <f>0.6*1.02</f>
        <v>0.61</v>
      </c>
      <c r="G433" s="130"/>
      <c r="H433" s="95"/>
      <c r="I433" s="25"/>
    </row>
    <row r="434" spans="1:9">
      <c r="A434" s="74"/>
      <c r="B434" s="92"/>
      <c r="C434" s="179"/>
      <c r="D434" s="265"/>
      <c r="E434" s="319"/>
      <c r="F434" s="320"/>
      <c r="G434" s="130"/>
      <c r="H434" s="95"/>
      <c r="I434" s="25"/>
    </row>
    <row r="435" spans="1:9">
      <c r="A435" s="108">
        <v>9</v>
      </c>
      <c r="B435" s="156" t="s">
        <v>54</v>
      </c>
      <c r="C435" s="81" t="s">
        <v>238</v>
      </c>
      <c r="D435" s="316" t="s">
        <v>240</v>
      </c>
      <c r="E435" s="216" t="s">
        <v>52</v>
      </c>
      <c r="F435" s="273">
        <v>1.94</v>
      </c>
      <c r="G435" s="282"/>
      <c r="H435" s="169">
        <f>F435*G435</f>
        <v>0</v>
      </c>
      <c r="I435" s="170"/>
    </row>
    <row r="436" spans="1:9" outlineLevel="1">
      <c r="A436" s="74"/>
      <c r="B436" s="137" t="s">
        <v>49</v>
      </c>
      <c r="C436" s="179"/>
      <c r="D436" s="265" t="s">
        <v>236</v>
      </c>
      <c r="E436" s="319"/>
      <c r="F436" s="145">
        <f>1.9*1.02</f>
        <v>1.94</v>
      </c>
      <c r="G436" s="130"/>
      <c r="H436" s="95"/>
      <c r="I436" s="25"/>
    </row>
    <row r="437" spans="1:9">
      <c r="A437" s="74"/>
      <c r="B437" s="473"/>
      <c r="C437" s="179"/>
      <c r="D437" s="265"/>
      <c r="E437" s="319"/>
      <c r="F437" s="145"/>
      <c r="G437" s="130"/>
      <c r="H437" s="95"/>
      <c r="I437" s="25"/>
    </row>
    <row r="438" spans="1:9" ht="12" customHeight="1">
      <c r="A438" s="81">
        <v>10</v>
      </c>
      <c r="B438" s="81" t="s">
        <v>46</v>
      </c>
      <c r="C438" s="81" t="s">
        <v>241</v>
      </c>
      <c r="D438" s="88" t="s">
        <v>242</v>
      </c>
      <c r="E438" s="89" t="s">
        <v>52</v>
      </c>
      <c r="F438" s="90">
        <v>18.329999999999998</v>
      </c>
      <c r="G438" s="129"/>
      <c r="H438" s="82">
        <f>F438*G438</f>
        <v>0</v>
      </c>
      <c r="I438" s="69"/>
    </row>
    <row r="439" spans="1:9" outlineLevel="1">
      <c r="A439" s="74"/>
      <c r="B439" s="137" t="s">
        <v>49</v>
      </c>
      <c r="C439" s="179"/>
      <c r="D439" s="265" t="s">
        <v>193</v>
      </c>
      <c r="E439" s="319"/>
      <c r="F439" s="145"/>
      <c r="G439" s="130"/>
      <c r="H439" s="95"/>
      <c r="I439" s="25"/>
    </row>
    <row r="440" spans="1:9" outlineLevel="1">
      <c r="A440" s="74"/>
      <c r="B440" s="137" t="s">
        <v>49</v>
      </c>
      <c r="C440" s="179"/>
      <c r="D440" s="137" t="s">
        <v>194</v>
      </c>
      <c r="E440" s="93"/>
      <c r="F440" s="310">
        <f>(8.99+0.2)*0.5*3.985+0.2*0.15*0.5</f>
        <v>18.329999999999998</v>
      </c>
      <c r="G440" s="130"/>
      <c r="H440" s="95"/>
      <c r="I440" s="25"/>
    </row>
    <row r="441" spans="1:9">
      <c r="A441" s="74"/>
      <c r="B441" s="473"/>
      <c r="C441" s="179"/>
      <c r="D441" s="265"/>
      <c r="E441" s="319"/>
      <c r="F441" s="145"/>
      <c r="G441" s="130"/>
      <c r="H441" s="95"/>
      <c r="I441" s="25"/>
    </row>
    <row r="442" spans="1:9" ht="24">
      <c r="A442" s="108">
        <v>12</v>
      </c>
      <c r="B442" s="108" t="s">
        <v>54</v>
      </c>
      <c r="C442" s="142" t="s">
        <v>248</v>
      </c>
      <c r="D442" s="109" t="s">
        <v>243</v>
      </c>
      <c r="E442" s="143" t="s">
        <v>52</v>
      </c>
      <c r="F442" s="184">
        <v>19.25</v>
      </c>
      <c r="G442" s="324"/>
      <c r="H442" s="258">
        <f>F442*G442</f>
        <v>0</v>
      </c>
      <c r="I442" s="170"/>
    </row>
    <row r="443" spans="1:9" outlineLevel="1">
      <c r="A443" s="74"/>
      <c r="B443" s="314" t="s">
        <v>49</v>
      </c>
      <c r="C443" s="179"/>
      <c r="D443" s="265" t="s">
        <v>244</v>
      </c>
      <c r="E443" s="319"/>
      <c r="F443" s="145">
        <f>18.33*1.05</f>
        <v>19.25</v>
      </c>
      <c r="G443" s="130"/>
      <c r="H443" s="95"/>
      <c r="I443" s="25"/>
    </row>
    <row r="444" spans="1:9">
      <c r="A444" s="74"/>
      <c r="B444" s="92"/>
      <c r="C444" s="179"/>
      <c r="D444" s="265"/>
      <c r="E444" s="319"/>
      <c r="F444" s="320"/>
      <c r="G444" s="130"/>
      <c r="H444" s="95"/>
      <c r="I444" s="25"/>
    </row>
    <row r="445" spans="1:9">
      <c r="A445" s="81">
        <v>13</v>
      </c>
      <c r="B445" s="81" t="s">
        <v>46</v>
      </c>
      <c r="C445" s="81">
        <v>713131141</v>
      </c>
      <c r="D445" s="88" t="s">
        <v>61</v>
      </c>
      <c r="E445" s="89" t="s">
        <v>52</v>
      </c>
      <c r="F445" s="90">
        <v>0.7</v>
      </c>
      <c r="G445" s="129"/>
      <c r="H445" s="82">
        <f>F445*G445</f>
        <v>0</v>
      </c>
      <c r="I445" s="69" t="s">
        <v>58</v>
      </c>
    </row>
    <row r="446" spans="1:9" outlineLevel="1">
      <c r="A446" s="74"/>
      <c r="B446" s="314" t="s">
        <v>49</v>
      </c>
      <c r="C446" s="179"/>
      <c r="D446" s="265" t="s">
        <v>245</v>
      </c>
      <c r="E446" s="319"/>
      <c r="F446" s="320"/>
      <c r="G446" s="130"/>
      <c r="H446" s="95"/>
      <c r="I446" s="25"/>
    </row>
    <row r="447" spans="1:9" outlineLevel="1">
      <c r="A447" s="74"/>
      <c r="B447" s="314" t="s">
        <v>49</v>
      </c>
      <c r="C447" s="179"/>
      <c r="D447" s="265" t="s">
        <v>246</v>
      </c>
      <c r="E447" s="319"/>
      <c r="F447" s="320"/>
      <c r="G447" s="130"/>
      <c r="H447" s="95"/>
      <c r="I447" s="25"/>
    </row>
    <row r="448" spans="1:9" outlineLevel="1">
      <c r="A448" s="74"/>
      <c r="B448" s="314" t="s">
        <v>49</v>
      </c>
      <c r="C448" s="179"/>
      <c r="D448" s="265" t="s">
        <v>247</v>
      </c>
      <c r="E448" s="319"/>
      <c r="F448" s="145">
        <f>1*(1.2-0.5)</f>
        <v>0.7</v>
      </c>
      <c r="G448" s="130"/>
      <c r="H448" s="95"/>
      <c r="I448" s="25"/>
    </row>
    <row r="449" spans="1:11">
      <c r="A449" s="74"/>
      <c r="B449" s="92"/>
      <c r="C449" s="179"/>
      <c r="D449" s="265"/>
      <c r="E449" s="319"/>
      <c r="F449" s="320"/>
      <c r="G449" s="130"/>
      <c r="H449" s="95"/>
      <c r="I449" s="25"/>
    </row>
    <row r="450" spans="1:11" ht="24">
      <c r="A450" s="108">
        <v>14</v>
      </c>
      <c r="B450" s="257"/>
      <c r="C450" s="108" t="s">
        <v>249</v>
      </c>
      <c r="D450" s="316" t="s">
        <v>250</v>
      </c>
      <c r="E450" s="158" t="s">
        <v>52</v>
      </c>
      <c r="F450" s="184">
        <v>0.71</v>
      </c>
      <c r="G450" s="129"/>
      <c r="H450" s="82">
        <f>F450*G450</f>
        <v>0</v>
      </c>
      <c r="I450" s="170"/>
    </row>
    <row r="451" spans="1:11" outlineLevel="1">
      <c r="A451" s="74"/>
      <c r="B451" s="314" t="s">
        <v>49</v>
      </c>
      <c r="C451" s="179"/>
      <c r="D451" s="265" t="s">
        <v>251</v>
      </c>
      <c r="E451" s="319"/>
      <c r="F451" s="145">
        <f>1*(1.2-0.5)*1.02</f>
        <v>0.71</v>
      </c>
      <c r="G451" s="130"/>
      <c r="H451" s="95"/>
      <c r="I451" s="25"/>
    </row>
    <row r="452" spans="1:11">
      <c r="A452" s="74"/>
      <c r="B452" s="92"/>
      <c r="C452" s="179"/>
      <c r="D452" s="265"/>
      <c r="E452" s="319"/>
      <c r="F452" s="320"/>
      <c r="G452" s="130"/>
      <c r="H452" s="95"/>
      <c r="I452" s="25"/>
    </row>
    <row r="453" spans="1:11">
      <c r="A453" s="156">
        <v>15</v>
      </c>
      <c r="B453" s="156" t="s">
        <v>46</v>
      </c>
      <c r="C453" s="108">
        <v>998713201</v>
      </c>
      <c r="D453" s="301" t="s">
        <v>252</v>
      </c>
      <c r="E453" s="216" t="s">
        <v>57</v>
      </c>
      <c r="F453" s="302">
        <f>SUM(H378:H450)*0.01</f>
        <v>0</v>
      </c>
      <c r="G453" s="144"/>
      <c r="H453" s="169">
        <f>F453*G453</f>
        <v>0</v>
      </c>
      <c r="I453" s="69" t="s">
        <v>58</v>
      </c>
    </row>
    <row r="454" spans="1:11">
      <c r="A454" s="325"/>
      <c r="B454" s="102"/>
      <c r="C454" s="74"/>
      <c r="D454" s="326"/>
      <c r="E454" s="279"/>
      <c r="F454" s="132"/>
      <c r="G454" s="132"/>
      <c r="H454" s="214"/>
      <c r="I454" s="25"/>
    </row>
    <row r="455" spans="1:11" ht="24">
      <c r="A455" s="156">
        <v>16</v>
      </c>
      <c r="B455" s="156" t="s">
        <v>46</v>
      </c>
      <c r="C455" s="108">
        <v>713130851</v>
      </c>
      <c r="D455" s="301" t="s">
        <v>254</v>
      </c>
      <c r="E455" s="216" t="s">
        <v>52</v>
      </c>
      <c r="F455" s="302">
        <v>5.62</v>
      </c>
      <c r="G455" s="144"/>
      <c r="H455" s="169">
        <f>F455*G455</f>
        <v>0</v>
      </c>
      <c r="I455" s="69" t="s">
        <v>58</v>
      </c>
      <c r="J455" s="164">
        <v>0.06</v>
      </c>
      <c r="K455" s="7">
        <f>F455*J455</f>
        <v>0.33700000000000002</v>
      </c>
    </row>
    <row r="456" spans="1:11" outlineLevel="1">
      <c r="A456" s="325"/>
      <c r="B456" s="314" t="s">
        <v>49</v>
      </c>
      <c r="C456" s="74"/>
      <c r="D456" s="328" t="s">
        <v>253</v>
      </c>
      <c r="E456" s="152"/>
      <c r="F456" s="154"/>
      <c r="G456" s="132"/>
      <c r="H456" s="214"/>
      <c r="I456" s="25"/>
    </row>
    <row r="457" spans="1:11" outlineLevel="1">
      <c r="A457" s="325"/>
      <c r="B457" s="314" t="s">
        <v>49</v>
      </c>
      <c r="C457" s="74"/>
      <c r="D457" s="328" t="s">
        <v>255</v>
      </c>
      <c r="E457" s="152"/>
      <c r="F457" s="154">
        <f>9.835*0.5</f>
        <v>4.92</v>
      </c>
      <c r="G457" s="132"/>
      <c r="H457" s="214"/>
      <c r="I457" s="25"/>
    </row>
    <row r="458" spans="1:11" outlineLevel="1">
      <c r="A458" s="325"/>
      <c r="B458" s="314" t="s">
        <v>49</v>
      </c>
      <c r="C458" s="74"/>
      <c r="D458" s="328" t="s">
        <v>256</v>
      </c>
      <c r="E458" s="152"/>
      <c r="F458" s="154"/>
      <c r="G458" s="132"/>
      <c r="H458" s="214"/>
      <c r="I458" s="25"/>
    </row>
    <row r="459" spans="1:11" outlineLevel="1">
      <c r="A459" s="325"/>
      <c r="B459" s="314" t="s">
        <v>49</v>
      </c>
      <c r="C459" s="74"/>
      <c r="D459" s="265" t="s">
        <v>247</v>
      </c>
      <c r="E459" s="319"/>
      <c r="F459" s="145">
        <f>1*(1.2-0.5)</f>
        <v>0.7</v>
      </c>
      <c r="G459" s="132"/>
      <c r="H459" s="214"/>
      <c r="I459" s="25"/>
    </row>
    <row r="460" spans="1:11" outlineLevel="1">
      <c r="A460" s="325"/>
      <c r="B460" s="314" t="s">
        <v>49</v>
      </c>
      <c r="C460" s="74"/>
      <c r="D460" s="323" t="s">
        <v>50</v>
      </c>
      <c r="E460" s="321"/>
      <c r="F460" s="147">
        <f>SUM(F457:F459)</f>
        <v>5.62</v>
      </c>
      <c r="G460" s="132"/>
      <c r="H460" s="214"/>
      <c r="I460" s="25"/>
    </row>
    <row r="461" spans="1:11">
      <c r="A461" s="74"/>
      <c r="B461" s="92"/>
      <c r="C461" s="179"/>
      <c r="D461" s="92"/>
      <c r="E461" s="93"/>
      <c r="F461" s="94"/>
      <c r="G461" s="130"/>
      <c r="H461" s="95"/>
      <c r="I461" s="25"/>
    </row>
    <row r="462" spans="1:11">
      <c r="A462" s="74"/>
      <c r="B462" s="92" t="s">
        <v>45</v>
      </c>
      <c r="C462" s="179">
        <v>762</v>
      </c>
      <c r="D462" s="92" t="s">
        <v>69</v>
      </c>
      <c r="E462" s="93"/>
      <c r="F462" s="94"/>
      <c r="G462" s="130"/>
      <c r="H462" s="95">
        <f>SUM(H463:H478)</f>
        <v>0</v>
      </c>
      <c r="I462" s="25"/>
    </row>
    <row r="463" spans="1:11" ht="36">
      <c r="A463" s="108">
        <v>1</v>
      </c>
      <c r="B463" s="156" t="s">
        <v>46</v>
      </c>
      <c r="C463" s="142" t="s">
        <v>151</v>
      </c>
      <c r="D463" s="109" t="s">
        <v>156</v>
      </c>
      <c r="E463" s="157" t="s">
        <v>52</v>
      </c>
      <c r="F463" s="255">
        <v>2</v>
      </c>
      <c r="G463" s="246"/>
      <c r="H463" s="82">
        <f>F463*G463</f>
        <v>0</v>
      </c>
      <c r="I463" s="170"/>
    </row>
    <row r="464" spans="1:11" outlineLevel="1">
      <c r="A464" s="74"/>
      <c r="B464" s="83" t="s">
        <v>49</v>
      </c>
      <c r="C464" s="179"/>
      <c r="D464" s="137" t="s">
        <v>150</v>
      </c>
      <c r="E464" s="93"/>
      <c r="F464" s="139">
        <f>(9.785+0.22)*0.2</f>
        <v>2</v>
      </c>
      <c r="G464" s="130"/>
      <c r="H464" s="95"/>
      <c r="I464" s="25"/>
    </row>
    <row r="465" spans="1:9">
      <c r="A465" s="74"/>
      <c r="B465" s="92"/>
      <c r="C465" s="179"/>
      <c r="D465" s="92"/>
      <c r="E465" s="93"/>
      <c r="F465" s="94"/>
      <c r="G465" s="130"/>
      <c r="H465" s="95"/>
      <c r="I465" s="25"/>
    </row>
    <row r="466" spans="1:9" ht="24">
      <c r="A466" s="108">
        <v>2</v>
      </c>
      <c r="B466" s="156" t="s">
        <v>46</v>
      </c>
      <c r="C466" s="142" t="s">
        <v>152</v>
      </c>
      <c r="D466" s="109" t="s">
        <v>155</v>
      </c>
      <c r="E466" s="157" t="s">
        <v>47</v>
      </c>
      <c r="F466" s="255">
        <v>4</v>
      </c>
      <c r="G466" s="246"/>
      <c r="H466" s="82">
        <f>F466*G466</f>
        <v>0</v>
      </c>
      <c r="I466" s="170"/>
    </row>
    <row r="467" spans="1:9" outlineLevel="1">
      <c r="A467" s="74"/>
      <c r="B467" s="83" t="s">
        <v>49</v>
      </c>
      <c r="C467" s="179"/>
      <c r="D467" s="137" t="s">
        <v>153</v>
      </c>
      <c r="E467" s="140"/>
      <c r="F467" s="266"/>
      <c r="G467" s="139"/>
      <c r="H467" s="95"/>
      <c r="I467" s="25"/>
    </row>
    <row r="468" spans="1:9" outlineLevel="1">
      <c r="A468" s="74"/>
      <c r="B468" s="83" t="s">
        <v>49</v>
      </c>
      <c r="C468" s="179"/>
      <c r="D468" s="137" t="s">
        <v>154</v>
      </c>
      <c r="E468" s="140"/>
      <c r="F468" s="139">
        <f>0.2*21</f>
        <v>4.2</v>
      </c>
      <c r="G468" s="139"/>
      <c r="H468" s="95"/>
      <c r="I468" s="25"/>
    </row>
    <row r="469" spans="1:9">
      <c r="A469" s="74"/>
      <c r="B469" s="92"/>
      <c r="C469" s="179"/>
      <c r="D469" s="137"/>
      <c r="E469" s="140"/>
      <c r="F469" s="268"/>
      <c r="G469" s="139"/>
      <c r="H469" s="95"/>
      <c r="I469" s="25"/>
    </row>
    <row r="470" spans="1:9">
      <c r="A470" s="81">
        <v>3</v>
      </c>
      <c r="B470" s="81" t="s">
        <v>54</v>
      </c>
      <c r="C470" s="81" t="s">
        <v>218</v>
      </c>
      <c r="D470" s="149" t="s">
        <v>217</v>
      </c>
      <c r="E470" s="150" t="s">
        <v>51</v>
      </c>
      <c r="F470" s="269">
        <v>6.0000000000000001E-3</v>
      </c>
      <c r="G470" s="129"/>
      <c r="H470" s="82">
        <f>F470*G470</f>
        <v>0</v>
      </c>
      <c r="I470" s="69"/>
    </row>
    <row r="471" spans="1:9" outlineLevel="1">
      <c r="A471" s="24"/>
      <c r="B471" s="83" t="s">
        <v>49</v>
      </c>
      <c r="C471" s="194"/>
      <c r="D471" s="87" t="s">
        <v>214</v>
      </c>
      <c r="E471" s="93"/>
      <c r="F471" s="267"/>
      <c r="G471" s="130"/>
      <c r="H471" s="95"/>
      <c r="I471" s="101"/>
    </row>
    <row r="472" spans="1:9" outlineLevel="1">
      <c r="A472" s="74"/>
      <c r="B472" s="83" t="s">
        <v>49</v>
      </c>
      <c r="C472" s="179"/>
      <c r="D472" s="137" t="s">
        <v>215</v>
      </c>
      <c r="E472" s="140"/>
      <c r="F472" s="268"/>
      <c r="G472" s="139"/>
      <c r="H472" s="95"/>
      <c r="I472" s="25"/>
    </row>
    <row r="473" spans="1:9" outlineLevel="1">
      <c r="A473" s="74"/>
      <c r="B473" s="83" t="s">
        <v>49</v>
      </c>
      <c r="C473" s="179"/>
      <c r="D473" s="137" t="s">
        <v>216</v>
      </c>
      <c r="E473" s="140"/>
      <c r="F473" s="268">
        <f>4.2*0.05*0.05*0.5*1.1</f>
        <v>6.0000000000000001E-3</v>
      </c>
      <c r="G473" s="139"/>
      <c r="H473" s="95"/>
      <c r="I473" s="25"/>
    </row>
    <row r="474" spans="1:9">
      <c r="A474" s="74"/>
      <c r="B474" s="83"/>
      <c r="C474" s="179"/>
      <c r="D474" s="137"/>
      <c r="E474" s="140"/>
      <c r="F474" s="268"/>
      <c r="G474" s="139"/>
      <c r="H474" s="95"/>
      <c r="I474" s="25"/>
    </row>
    <row r="475" spans="1:9" ht="24">
      <c r="A475" s="81">
        <v>4</v>
      </c>
      <c r="B475" s="81" t="s">
        <v>46</v>
      </c>
      <c r="C475" s="81">
        <v>762083111</v>
      </c>
      <c r="D475" s="149" t="s">
        <v>88</v>
      </c>
      <c r="E475" s="150" t="s">
        <v>51</v>
      </c>
      <c r="F475" s="223">
        <v>6.0000000000000001E-3</v>
      </c>
      <c r="G475" s="129"/>
      <c r="H475" s="82">
        <f>F475*G475</f>
        <v>0</v>
      </c>
      <c r="I475" s="69" t="s">
        <v>58</v>
      </c>
    </row>
    <row r="476" spans="1:9" outlineLevel="1">
      <c r="A476" s="74"/>
      <c r="B476" s="114" t="s">
        <v>49</v>
      </c>
      <c r="C476" s="179"/>
      <c r="D476" s="137" t="s">
        <v>216</v>
      </c>
      <c r="E476" s="140"/>
      <c r="F476" s="268">
        <f>4.2*0.05*0.05*0.5*1.1</f>
        <v>6.0000000000000001E-3</v>
      </c>
      <c r="G476" s="130"/>
      <c r="H476" s="95"/>
      <c r="I476" s="25"/>
    </row>
    <row r="477" spans="1:9">
      <c r="A477" s="24"/>
      <c r="B477" s="92"/>
      <c r="C477" s="194"/>
      <c r="D477" s="72"/>
      <c r="E477" s="93"/>
      <c r="F477" s="270"/>
      <c r="G477" s="130"/>
      <c r="H477" s="95"/>
      <c r="I477" s="101"/>
    </row>
    <row r="478" spans="1:9">
      <c r="A478" s="182">
        <v>5</v>
      </c>
      <c r="B478" s="182" t="s">
        <v>46</v>
      </c>
      <c r="C478" s="198">
        <v>998762201</v>
      </c>
      <c r="D478" s="192" t="s">
        <v>157</v>
      </c>
      <c r="E478" s="134" t="s">
        <v>57</v>
      </c>
      <c r="F478" s="193">
        <f>SUM(H463:H475)*0.01</f>
        <v>0</v>
      </c>
      <c r="G478" s="212"/>
      <c r="H478" s="210">
        <f>F478*G478</f>
        <v>0</v>
      </c>
      <c r="I478" s="170" t="s">
        <v>58</v>
      </c>
    </row>
    <row r="479" spans="1:9">
      <c r="A479" s="74"/>
      <c r="B479" s="92"/>
      <c r="C479" s="179"/>
      <c r="D479" s="92"/>
      <c r="E479" s="93"/>
      <c r="F479" s="94"/>
      <c r="G479" s="130"/>
      <c r="H479" s="95"/>
      <c r="I479" s="25"/>
    </row>
    <row r="480" spans="1:9">
      <c r="A480" s="74"/>
      <c r="B480" s="92" t="s">
        <v>45</v>
      </c>
      <c r="C480" s="179">
        <v>764</v>
      </c>
      <c r="D480" s="92" t="s">
        <v>146</v>
      </c>
      <c r="E480" s="93"/>
      <c r="F480" s="94"/>
      <c r="G480" s="130"/>
      <c r="H480" s="95">
        <f>SUM(H481:H484)</f>
        <v>0</v>
      </c>
      <c r="I480" s="25"/>
    </row>
    <row r="481" spans="1:12" ht="24">
      <c r="A481" s="108">
        <v>1</v>
      </c>
      <c r="B481" s="156" t="s">
        <v>46</v>
      </c>
      <c r="C481" s="142" t="s">
        <v>147</v>
      </c>
      <c r="D481" s="109" t="s">
        <v>275</v>
      </c>
      <c r="E481" s="157" t="s">
        <v>47</v>
      </c>
      <c r="F481" s="255">
        <v>2.65</v>
      </c>
      <c r="G481" s="246"/>
      <c r="H481" s="82">
        <f>F481*G481</f>
        <v>0</v>
      </c>
      <c r="I481" s="170"/>
    </row>
    <row r="482" spans="1:12" outlineLevel="1">
      <c r="A482" s="74"/>
      <c r="B482" s="114" t="s">
        <v>49</v>
      </c>
      <c r="C482" s="173"/>
      <c r="D482" s="115" t="s">
        <v>149</v>
      </c>
      <c r="E482" s="93"/>
      <c r="F482" s="259"/>
      <c r="G482" s="55"/>
      <c r="H482" s="75"/>
      <c r="I482" s="25"/>
    </row>
    <row r="483" spans="1:12">
      <c r="A483" s="74"/>
      <c r="B483" s="102"/>
      <c r="C483" s="173"/>
      <c r="D483" s="53"/>
      <c r="E483" s="93"/>
      <c r="F483" s="259"/>
      <c r="G483" s="55"/>
      <c r="H483" s="75"/>
      <c r="I483" s="25"/>
    </row>
    <row r="484" spans="1:12">
      <c r="A484" s="97">
        <v>2</v>
      </c>
      <c r="B484" s="97" t="s">
        <v>46</v>
      </c>
      <c r="C484" s="172">
        <v>998764201</v>
      </c>
      <c r="D484" s="98" t="s">
        <v>148</v>
      </c>
      <c r="E484" s="99" t="s">
        <v>57</v>
      </c>
      <c r="F484" s="100">
        <f>SUM(H481)*0.01</f>
        <v>0</v>
      </c>
      <c r="G484" s="131"/>
      <c r="H484" s="68">
        <f>F484*G484</f>
        <v>0</v>
      </c>
      <c r="I484" s="69" t="s">
        <v>58</v>
      </c>
    </row>
    <row r="485" spans="1:12">
      <c r="A485" s="333"/>
      <c r="B485" s="333"/>
      <c r="C485" s="334"/>
      <c r="D485" s="335"/>
      <c r="E485" s="336"/>
      <c r="F485" s="337"/>
      <c r="G485" s="338"/>
      <c r="H485" s="71"/>
      <c r="I485" s="25"/>
    </row>
    <row r="486" spans="1:12">
      <c r="A486" s="333"/>
      <c r="B486" s="92" t="s">
        <v>45</v>
      </c>
      <c r="C486" s="179">
        <v>767</v>
      </c>
      <c r="D486" s="92" t="s">
        <v>458</v>
      </c>
      <c r="E486" s="93"/>
      <c r="F486" s="94"/>
      <c r="G486" s="130"/>
      <c r="H486" s="95">
        <f>SUM(H487:H511)</f>
        <v>0</v>
      </c>
      <c r="I486" s="25"/>
    </row>
    <row r="487" spans="1:12" ht="48">
      <c r="A487" s="182">
        <v>1</v>
      </c>
      <c r="B487" s="182" t="s">
        <v>46</v>
      </c>
      <c r="C487" s="183" t="s">
        <v>459</v>
      </c>
      <c r="D487" s="192" t="s">
        <v>461</v>
      </c>
      <c r="E487" s="134" t="s">
        <v>55</v>
      </c>
      <c r="F487" s="255">
        <v>1</v>
      </c>
      <c r="G487" s="246"/>
      <c r="H487" s="82">
        <f>F487*G487</f>
        <v>0</v>
      </c>
      <c r="I487" s="170"/>
      <c r="L487" s="5"/>
    </row>
    <row r="488" spans="1:12">
      <c r="A488" s="333"/>
      <c r="B488" s="333"/>
      <c r="C488" s="334"/>
      <c r="D488" s="335"/>
      <c r="E488" s="336"/>
      <c r="F488" s="259"/>
      <c r="G488" s="55"/>
      <c r="H488" s="75"/>
      <c r="I488" s="25"/>
    </row>
    <row r="489" spans="1:12" ht="48">
      <c r="A489" s="182">
        <v>2</v>
      </c>
      <c r="B489" s="182" t="s">
        <v>46</v>
      </c>
      <c r="C489" s="183" t="s">
        <v>460</v>
      </c>
      <c r="D489" s="192" t="s">
        <v>464</v>
      </c>
      <c r="E489" s="134" t="s">
        <v>55</v>
      </c>
      <c r="F489" s="255">
        <v>1</v>
      </c>
      <c r="G489" s="246"/>
      <c r="H489" s="82">
        <f>F489*G489</f>
        <v>0</v>
      </c>
      <c r="I489" s="170"/>
    </row>
    <row r="490" spans="1:12">
      <c r="A490" s="333"/>
      <c r="B490" s="333"/>
      <c r="C490" s="334"/>
      <c r="D490" s="335"/>
      <c r="E490" s="336"/>
      <c r="F490" s="259"/>
      <c r="G490" s="55"/>
      <c r="H490" s="75"/>
      <c r="I490" s="25"/>
    </row>
    <row r="491" spans="1:12" ht="24">
      <c r="A491" s="182">
        <v>3</v>
      </c>
      <c r="B491" s="182" t="s">
        <v>46</v>
      </c>
      <c r="C491" s="183" t="s">
        <v>463</v>
      </c>
      <c r="D491" s="192" t="s">
        <v>462</v>
      </c>
      <c r="E491" s="134" t="s">
        <v>55</v>
      </c>
      <c r="F491" s="255">
        <v>1</v>
      </c>
      <c r="G491" s="246"/>
      <c r="H491" s="82">
        <f>F491*G491</f>
        <v>0</v>
      </c>
      <c r="I491" s="170"/>
    </row>
    <row r="492" spans="1:12">
      <c r="A492" s="333"/>
      <c r="B492" s="333"/>
      <c r="C492" s="334"/>
      <c r="D492" s="335"/>
      <c r="E492" s="336"/>
      <c r="F492" s="337"/>
      <c r="G492" s="338"/>
      <c r="H492" s="71"/>
      <c r="I492" s="25"/>
    </row>
    <row r="493" spans="1:12" ht="24">
      <c r="A493" s="182">
        <v>4</v>
      </c>
      <c r="B493" s="182" t="s">
        <v>46</v>
      </c>
      <c r="C493" s="183" t="s">
        <v>465</v>
      </c>
      <c r="D493" s="192" t="s">
        <v>466</v>
      </c>
      <c r="E493" s="134" t="s">
        <v>55</v>
      </c>
      <c r="F493" s="255">
        <v>1</v>
      </c>
      <c r="G493" s="246"/>
      <c r="H493" s="82">
        <f>F493*G493</f>
        <v>0</v>
      </c>
      <c r="I493" s="170"/>
    </row>
    <row r="494" spans="1:12">
      <c r="A494" s="333"/>
      <c r="B494" s="333"/>
      <c r="C494" s="334"/>
      <c r="D494" s="335"/>
      <c r="E494" s="336"/>
      <c r="F494" s="337"/>
      <c r="G494" s="338"/>
      <c r="H494" s="71"/>
      <c r="I494" s="25"/>
    </row>
    <row r="495" spans="1:12" ht="36">
      <c r="A495" s="182">
        <v>5</v>
      </c>
      <c r="B495" s="182" t="s">
        <v>46</v>
      </c>
      <c r="C495" s="183" t="s">
        <v>468</v>
      </c>
      <c r="D495" s="192" t="s">
        <v>467</v>
      </c>
      <c r="E495" s="134" t="s">
        <v>55</v>
      </c>
      <c r="F495" s="193">
        <v>50</v>
      </c>
      <c r="G495" s="246"/>
      <c r="H495" s="82">
        <f>F495*G495</f>
        <v>0</v>
      </c>
      <c r="I495" s="170"/>
    </row>
    <row r="496" spans="1:12">
      <c r="A496" s="333"/>
      <c r="B496" s="333"/>
      <c r="C496" s="334"/>
      <c r="D496" s="335"/>
      <c r="E496" s="336"/>
      <c r="F496" s="337"/>
      <c r="G496" s="338"/>
      <c r="H496" s="71"/>
      <c r="I496" s="25"/>
    </row>
    <row r="497" spans="1:9" ht="24">
      <c r="A497" s="182">
        <v>6</v>
      </c>
      <c r="B497" s="182" t="s">
        <v>46</v>
      </c>
      <c r="C497" s="183" t="s">
        <v>469</v>
      </c>
      <c r="D497" s="192" t="s">
        <v>472</v>
      </c>
      <c r="E497" s="134" t="s">
        <v>47</v>
      </c>
      <c r="F497" s="193">
        <v>12.75</v>
      </c>
      <c r="G497" s="246"/>
      <c r="H497" s="82">
        <f>F497*G497</f>
        <v>0</v>
      </c>
      <c r="I497" s="170"/>
    </row>
    <row r="498" spans="1:9" outlineLevel="1">
      <c r="A498" s="333"/>
      <c r="B498" s="137" t="s">
        <v>49</v>
      </c>
      <c r="C498" s="174"/>
      <c r="D498" s="474" t="s">
        <v>470</v>
      </c>
      <c r="E498" s="336"/>
      <c r="F498" s="145">
        <f>2.55*5</f>
        <v>12.75</v>
      </c>
      <c r="G498" s="338"/>
      <c r="H498" s="71"/>
      <c r="I498" s="25"/>
    </row>
    <row r="499" spans="1:9">
      <c r="A499" s="333"/>
      <c r="B499" s="333"/>
      <c r="C499" s="334"/>
      <c r="D499" s="335"/>
      <c r="E499" s="336"/>
      <c r="F499" s="337"/>
      <c r="G499" s="338"/>
      <c r="H499" s="71"/>
      <c r="I499" s="25"/>
    </row>
    <row r="500" spans="1:9" ht="24">
      <c r="A500" s="182">
        <v>7</v>
      </c>
      <c r="B500" s="182" t="s">
        <v>46</v>
      </c>
      <c r="C500" s="183" t="s">
        <v>471</v>
      </c>
      <c r="D500" s="192" t="s">
        <v>476</v>
      </c>
      <c r="E500" s="134" t="s">
        <v>47</v>
      </c>
      <c r="F500" s="193">
        <v>9.75</v>
      </c>
      <c r="G500" s="246"/>
      <c r="H500" s="82">
        <f>F500*G500</f>
        <v>0</v>
      </c>
      <c r="I500" s="170"/>
    </row>
    <row r="501" spans="1:9" outlineLevel="1">
      <c r="A501" s="333"/>
      <c r="B501" s="137" t="s">
        <v>49</v>
      </c>
      <c r="C501" s="174"/>
      <c r="D501" s="474" t="s">
        <v>477</v>
      </c>
      <c r="E501" s="336"/>
      <c r="F501" s="145">
        <f>1.75*5+1</f>
        <v>9.75</v>
      </c>
      <c r="G501" s="338"/>
      <c r="H501" s="71"/>
      <c r="I501" s="25"/>
    </row>
    <row r="502" spans="1:9">
      <c r="A502" s="333"/>
      <c r="B502" s="333"/>
      <c r="C502" s="334"/>
      <c r="D502" s="335"/>
      <c r="E502" s="336"/>
      <c r="F502" s="337"/>
      <c r="G502" s="338"/>
      <c r="H502" s="71"/>
      <c r="I502" s="25"/>
    </row>
    <row r="503" spans="1:9" ht="24">
      <c r="A503" s="182">
        <v>8</v>
      </c>
      <c r="B503" s="182" t="s">
        <v>46</v>
      </c>
      <c r="C503" s="183" t="s">
        <v>473</v>
      </c>
      <c r="D503" s="192" t="s">
        <v>474</v>
      </c>
      <c r="E503" s="134" t="s">
        <v>47</v>
      </c>
      <c r="F503" s="193">
        <v>13</v>
      </c>
      <c r="G503" s="246"/>
      <c r="H503" s="82">
        <f>F503*G503</f>
        <v>0</v>
      </c>
      <c r="I503" s="170"/>
    </row>
    <row r="504" spans="1:9" outlineLevel="1">
      <c r="A504" s="333"/>
      <c r="B504" s="137" t="s">
        <v>49</v>
      </c>
      <c r="C504" s="174"/>
      <c r="D504" s="474" t="s">
        <v>475</v>
      </c>
      <c r="E504" s="336"/>
      <c r="F504" s="145">
        <v>13</v>
      </c>
      <c r="G504" s="338"/>
      <c r="H504" s="71"/>
      <c r="I504" s="25"/>
    </row>
    <row r="505" spans="1:9">
      <c r="A505" s="333"/>
      <c r="B505" s="333"/>
      <c r="C505" s="334"/>
      <c r="D505" s="335"/>
      <c r="E505" s="336"/>
      <c r="F505" s="337"/>
      <c r="G505" s="338"/>
      <c r="H505" s="71"/>
      <c r="I505" s="25"/>
    </row>
    <row r="506" spans="1:9" ht="24">
      <c r="A506" s="182">
        <v>9</v>
      </c>
      <c r="B506" s="182" t="s">
        <v>46</v>
      </c>
      <c r="C506" s="183" t="s">
        <v>478</v>
      </c>
      <c r="D506" s="192" t="s">
        <v>479</v>
      </c>
      <c r="E506" s="134" t="s">
        <v>47</v>
      </c>
      <c r="F506" s="193">
        <v>13</v>
      </c>
      <c r="G506" s="246"/>
      <c r="H506" s="82">
        <f>F506*G506</f>
        <v>0</v>
      </c>
      <c r="I506" s="170"/>
    </row>
    <row r="507" spans="1:9" outlineLevel="1">
      <c r="A507" s="333"/>
      <c r="B507" s="137" t="s">
        <v>49</v>
      </c>
      <c r="C507" s="174"/>
      <c r="D507" s="474" t="s">
        <v>480</v>
      </c>
      <c r="E507" s="336"/>
      <c r="F507" s="145">
        <f>0.95*10+0.75+1.7+3*0.35</f>
        <v>13</v>
      </c>
      <c r="G507" s="338"/>
      <c r="H507" s="71"/>
      <c r="I507" s="25"/>
    </row>
    <row r="508" spans="1:9">
      <c r="A508" s="333"/>
      <c r="B508" s="333"/>
      <c r="C508" s="334"/>
      <c r="D508" s="335"/>
      <c r="E508" s="336"/>
      <c r="F508" s="337"/>
      <c r="G508" s="338"/>
      <c r="H508" s="71"/>
      <c r="I508" s="25"/>
    </row>
    <row r="509" spans="1:9">
      <c r="A509" s="97">
        <v>10</v>
      </c>
      <c r="B509" s="97" t="s">
        <v>46</v>
      </c>
      <c r="C509" s="172">
        <v>998767201</v>
      </c>
      <c r="D509" s="98" t="s">
        <v>481</v>
      </c>
      <c r="E509" s="99" t="s">
        <v>57</v>
      </c>
      <c r="F509" s="100">
        <f>SUM(H487:H506)*0.01</f>
        <v>0</v>
      </c>
      <c r="G509" s="131"/>
      <c r="H509" s="68">
        <f>F509*G509</f>
        <v>0</v>
      </c>
      <c r="I509" s="69" t="s">
        <v>58</v>
      </c>
    </row>
    <row r="510" spans="1:9">
      <c r="A510" s="333"/>
      <c r="B510" s="333"/>
      <c r="C510" s="334"/>
      <c r="D510" s="335"/>
      <c r="E510" s="336"/>
      <c r="F510" s="337"/>
      <c r="G510" s="338"/>
      <c r="H510" s="71"/>
      <c r="I510" s="25"/>
    </row>
    <row r="511" spans="1:9" ht="36">
      <c r="A511" s="97">
        <v>11</v>
      </c>
      <c r="B511" s="97" t="s">
        <v>46</v>
      </c>
      <c r="C511" s="172" t="s">
        <v>482</v>
      </c>
      <c r="D511" s="98" t="s">
        <v>483</v>
      </c>
      <c r="E511" s="99" t="s">
        <v>385</v>
      </c>
      <c r="F511" s="100">
        <v>1</v>
      </c>
      <c r="G511" s="131"/>
      <c r="H511" s="68">
        <f>F511*G511</f>
        <v>0</v>
      </c>
      <c r="I511" s="69" t="s">
        <v>58</v>
      </c>
    </row>
    <row r="512" spans="1:9">
      <c r="A512" s="333"/>
      <c r="B512" s="333"/>
      <c r="C512" s="334"/>
      <c r="D512" s="335"/>
      <c r="E512" s="336"/>
      <c r="F512" s="337"/>
      <c r="G512" s="338"/>
      <c r="H512" s="71"/>
      <c r="I512" s="25"/>
    </row>
    <row r="514" spans="1:9">
      <c r="A514" s="74"/>
      <c r="B514" s="92" t="s">
        <v>45</v>
      </c>
      <c r="C514" s="179">
        <v>783</v>
      </c>
      <c r="D514" s="92" t="s">
        <v>68</v>
      </c>
      <c r="E514" s="93"/>
      <c r="F514" s="94"/>
      <c r="G514" s="130"/>
      <c r="H514" s="95">
        <f>SUM(H515:H565)</f>
        <v>0</v>
      </c>
      <c r="I514" s="25"/>
    </row>
    <row r="515" spans="1:9" ht="24">
      <c r="A515" s="108">
        <v>1</v>
      </c>
      <c r="B515" s="156" t="s">
        <v>46</v>
      </c>
      <c r="C515" s="142" t="s">
        <v>138</v>
      </c>
      <c r="D515" s="109" t="s">
        <v>117</v>
      </c>
      <c r="E515" s="157" t="s">
        <v>52</v>
      </c>
      <c r="F515" s="255">
        <v>135.52000000000001</v>
      </c>
      <c r="G515" s="246"/>
      <c r="H515" s="82">
        <f>F515*G515</f>
        <v>0</v>
      </c>
      <c r="I515" s="170"/>
    </row>
    <row r="516" spans="1:9" ht="12" customHeight="1" outlineLevel="1">
      <c r="A516" s="74"/>
      <c r="B516" s="197" t="s">
        <v>49</v>
      </c>
      <c r="C516" s="173"/>
      <c r="D516" s="115" t="s">
        <v>119</v>
      </c>
      <c r="E516" s="93"/>
      <c r="F516" s="115"/>
      <c r="G516" s="55"/>
      <c r="H516" s="75"/>
      <c r="I516" s="25"/>
    </row>
    <row r="517" spans="1:9" ht="12" customHeight="1" outlineLevel="1">
      <c r="A517" s="74"/>
      <c r="B517" s="197" t="s">
        <v>49</v>
      </c>
      <c r="C517" s="173"/>
      <c r="D517" s="115" t="s">
        <v>162</v>
      </c>
      <c r="E517" s="93"/>
      <c r="F517" s="115"/>
      <c r="G517" s="55"/>
      <c r="H517" s="75"/>
      <c r="I517" s="25"/>
    </row>
    <row r="518" spans="1:9" ht="12" customHeight="1" outlineLevel="1">
      <c r="A518" s="74"/>
      <c r="B518" s="197" t="s">
        <v>49</v>
      </c>
      <c r="C518" s="173"/>
      <c r="D518" s="115" t="s">
        <v>120</v>
      </c>
      <c r="E518" s="93"/>
      <c r="F518" s="117">
        <f>(1.32+0.47+1.23+0.39+1.6+1.47+0.94+1.15+0.81+0.69+0.43+1.14)*2</f>
        <v>23.28</v>
      </c>
      <c r="G518" s="55"/>
      <c r="H518" s="75"/>
      <c r="I518" s="25"/>
    </row>
    <row r="519" spans="1:9" ht="12" customHeight="1" outlineLevel="1">
      <c r="A519" s="74"/>
      <c r="B519" s="197" t="s">
        <v>49</v>
      </c>
      <c r="C519" s="173"/>
      <c r="D519" s="115" t="s">
        <v>121</v>
      </c>
      <c r="E519" s="93"/>
      <c r="F519" s="117">
        <f>(0.37+0.69+0.86+0.51+0.03+0.15+0.17+0.14+0.23+0.17+0.2+0.1)*2</f>
        <v>7.24</v>
      </c>
      <c r="G519" s="55"/>
      <c r="H519" s="75"/>
      <c r="I519" s="25"/>
    </row>
    <row r="520" spans="1:9" ht="12" customHeight="1" outlineLevel="1">
      <c r="A520" s="74"/>
      <c r="B520" s="197" t="s">
        <v>49</v>
      </c>
      <c r="C520" s="173"/>
      <c r="D520" s="115" t="s">
        <v>122</v>
      </c>
      <c r="E520" s="93"/>
      <c r="F520" s="117">
        <f>(0.29+0.29+0.06+0.2+0.2+0.1+0.1+0.1+1.14+9.18+16.66)*2</f>
        <v>56.64</v>
      </c>
      <c r="G520" s="55"/>
      <c r="H520" s="75"/>
      <c r="I520" s="25"/>
    </row>
    <row r="521" spans="1:9" ht="12" customHeight="1" outlineLevel="1">
      <c r="A521" s="74"/>
      <c r="B521" s="197" t="s">
        <v>49</v>
      </c>
      <c r="C521" s="173"/>
      <c r="D521" s="115" t="s">
        <v>125</v>
      </c>
      <c r="E521" s="93"/>
      <c r="F521" s="117">
        <f>3.14*0.038*2*6*0.05*2</f>
        <v>0.14000000000000001</v>
      </c>
      <c r="G521" s="55"/>
      <c r="H521" s="75"/>
      <c r="I521" s="25"/>
    </row>
    <row r="522" spans="1:9" outlineLevel="1">
      <c r="A522" s="74"/>
      <c r="B522" s="197" t="s">
        <v>49</v>
      </c>
      <c r="C522" s="173"/>
      <c r="D522" s="115" t="s">
        <v>163</v>
      </c>
      <c r="E522" s="93"/>
      <c r="F522" s="260"/>
      <c r="G522" s="55"/>
      <c r="H522" s="75"/>
      <c r="I522" s="25"/>
    </row>
    <row r="523" spans="1:9" outlineLevel="1">
      <c r="A523" s="74"/>
      <c r="B523" s="197" t="s">
        <v>49</v>
      </c>
      <c r="C523" s="173"/>
      <c r="D523" s="115" t="s">
        <v>164</v>
      </c>
      <c r="E523" s="93"/>
      <c r="F523" s="117"/>
      <c r="G523" s="55"/>
      <c r="H523" s="75"/>
      <c r="I523" s="25"/>
    </row>
    <row r="524" spans="1:9" ht="12" customHeight="1" outlineLevel="1">
      <c r="A524" s="74"/>
      <c r="B524" s="197" t="s">
        <v>49</v>
      </c>
      <c r="C524" s="173"/>
      <c r="D524" s="115" t="s">
        <v>123</v>
      </c>
      <c r="E524" s="93"/>
      <c r="F524" s="117">
        <f>(9.49+8.29+0.7+0.27+0.02+0.08+0.12+0.16+0.19+0.23+0.28+0.17)*2</f>
        <v>40</v>
      </c>
      <c r="G524" s="55"/>
      <c r="H524" s="75"/>
      <c r="I524" s="25"/>
    </row>
    <row r="525" spans="1:9" ht="12" customHeight="1" outlineLevel="1">
      <c r="A525" s="74"/>
      <c r="B525" s="197" t="s">
        <v>49</v>
      </c>
      <c r="C525" s="173"/>
      <c r="D525" s="115" t="s">
        <v>124</v>
      </c>
      <c r="E525" s="93"/>
      <c r="F525" s="117">
        <f>(0.08+0.3+0.34+0.37+0.38+0.64+0.25+0.63+0.23+0.11+0.22)*2</f>
        <v>7.1</v>
      </c>
      <c r="G525" s="55"/>
      <c r="H525" s="75"/>
      <c r="I525" s="25"/>
    </row>
    <row r="526" spans="1:9" ht="12" customHeight="1" outlineLevel="1">
      <c r="A526" s="74"/>
      <c r="B526" s="197" t="s">
        <v>49</v>
      </c>
      <c r="C526" s="173"/>
      <c r="D526" s="115" t="s">
        <v>126</v>
      </c>
      <c r="E526" s="93"/>
      <c r="F526" s="117">
        <f>3.14*0.038*2*0.29*6*2</f>
        <v>0.83</v>
      </c>
      <c r="G526" s="55"/>
      <c r="H526" s="75"/>
      <c r="I526" s="25"/>
    </row>
    <row r="527" spans="1:9" ht="12" customHeight="1" outlineLevel="1">
      <c r="A527" s="74"/>
      <c r="B527" s="197" t="s">
        <v>49</v>
      </c>
      <c r="C527" s="173"/>
      <c r="D527" s="115" t="s">
        <v>127</v>
      </c>
      <c r="E527" s="93"/>
      <c r="F527" s="117">
        <f>0.05*0.05*12*2</f>
        <v>0.06</v>
      </c>
      <c r="G527" s="55"/>
      <c r="H527" s="75"/>
      <c r="I527" s="25"/>
    </row>
    <row r="528" spans="1:9" ht="12" customHeight="1" outlineLevel="1">
      <c r="A528" s="74"/>
      <c r="B528" s="197" t="s">
        <v>49</v>
      </c>
      <c r="C528" s="173"/>
      <c r="D528" s="115" t="s">
        <v>128</v>
      </c>
      <c r="E528" s="93"/>
      <c r="F528" s="117">
        <f>3.17*0.178*2*0.1*2</f>
        <v>0.23</v>
      </c>
      <c r="G528" s="55"/>
      <c r="H528" s="75"/>
      <c r="I528" s="25"/>
    </row>
    <row r="529" spans="1:9" ht="12" customHeight="1" outlineLevel="1">
      <c r="A529" s="74"/>
      <c r="B529" s="197" t="s">
        <v>49</v>
      </c>
      <c r="C529" s="173"/>
      <c r="D529" s="159" t="s">
        <v>50</v>
      </c>
      <c r="E529" s="162"/>
      <c r="F529" s="167">
        <f>SUM(F518:F528)</f>
        <v>135.52000000000001</v>
      </c>
      <c r="G529" s="55"/>
      <c r="H529" s="75"/>
      <c r="I529" s="25"/>
    </row>
    <row r="530" spans="1:9">
      <c r="A530" s="74"/>
      <c r="B530" s="102"/>
      <c r="C530" s="173"/>
      <c r="D530" s="92"/>
      <c r="E530" s="93"/>
      <c r="F530" s="94"/>
      <c r="G530" s="130"/>
      <c r="H530" s="95"/>
      <c r="I530" s="25"/>
    </row>
    <row r="531" spans="1:9" ht="24">
      <c r="A531" s="108">
        <v>2</v>
      </c>
      <c r="B531" s="156" t="s">
        <v>46</v>
      </c>
      <c r="C531" s="142" t="s">
        <v>139</v>
      </c>
      <c r="D531" s="109" t="s">
        <v>118</v>
      </c>
      <c r="E531" s="157" t="s">
        <v>52</v>
      </c>
      <c r="F531" s="255">
        <v>22.47</v>
      </c>
      <c r="G531" s="246"/>
      <c r="H531" s="82">
        <f>F531*G531</f>
        <v>0</v>
      </c>
      <c r="I531" s="170"/>
    </row>
    <row r="532" spans="1:9" outlineLevel="1">
      <c r="A532" s="74"/>
      <c r="B532" s="197" t="s">
        <v>49</v>
      </c>
      <c r="C532" s="173"/>
      <c r="D532" s="153" t="s">
        <v>129</v>
      </c>
      <c r="E532" s="140"/>
      <c r="F532" s="264"/>
      <c r="G532" s="55"/>
      <c r="H532" s="75"/>
      <c r="I532" s="25"/>
    </row>
    <row r="533" spans="1:9" ht="12" customHeight="1" outlineLevel="1">
      <c r="A533" s="74"/>
      <c r="B533" s="197" t="s">
        <v>49</v>
      </c>
      <c r="C533" s="173"/>
      <c r="D533" s="115" t="s">
        <v>131</v>
      </c>
      <c r="E533" s="140"/>
      <c r="F533" s="117">
        <f>(0.08*0.08+0.08*4*2.704+0.27*0.08*2+(0.27+0.08)*2*0.016)*5</f>
        <v>4.63</v>
      </c>
      <c r="G533" s="55"/>
      <c r="H533" s="75"/>
      <c r="I533" s="25"/>
    </row>
    <row r="534" spans="1:9" ht="12" customHeight="1" outlineLevel="1">
      <c r="A534" s="74"/>
      <c r="B534" s="197" t="s">
        <v>49</v>
      </c>
      <c r="C534" s="173"/>
      <c r="D534" s="153" t="s">
        <v>129</v>
      </c>
      <c r="E534" s="140"/>
      <c r="F534" s="264"/>
      <c r="G534" s="55"/>
      <c r="H534" s="75"/>
      <c r="I534" s="25"/>
    </row>
    <row r="535" spans="1:9" ht="12" customHeight="1" outlineLevel="1">
      <c r="A535" s="74"/>
      <c r="B535" s="197" t="s">
        <v>49</v>
      </c>
      <c r="C535" s="173"/>
      <c r="D535" s="115" t="s">
        <v>132</v>
      </c>
      <c r="E535" s="140"/>
      <c r="F535" s="117">
        <f>(0.08*0.05+(0.08+0.05)*2*2.704+0.27*0.08*2+(0.27+0.08)*2*0.016)*2</f>
        <v>1.52</v>
      </c>
      <c r="G535" s="55"/>
      <c r="H535" s="75"/>
      <c r="I535" s="25"/>
    </row>
    <row r="536" spans="1:9" ht="12" customHeight="1" outlineLevel="1">
      <c r="A536" s="74"/>
      <c r="B536" s="197" t="s">
        <v>49</v>
      </c>
      <c r="C536" s="173"/>
      <c r="D536" s="153" t="s">
        <v>130</v>
      </c>
      <c r="E536" s="140"/>
      <c r="F536" s="264"/>
      <c r="G536" s="55"/>
      <c r="H536" s="75"/>
      <c r="I536" s="25"/>
    </row>
    <row r="537" spans="1:9" ht="12" customHeight="1" outlineLevel="1">
      <c r="A537" s="74"/>
      <c r="B537" s="197" t="s">
        <v>49</v>
      </c>
      <c r="C537" s="173"/>
      <c r="D537" s="115" t="s">
        <v>172</v>
      </c>
      <c r="E537" s="140"/>
      <c r="F537" s="117">
        <f>((0.05+0.02+0.05+0.05)*2*2.694+(0.03+0.005)*2*3.6)*13</f>
        <v>15.18</v>
      </c>
      <c r="G537" s="55"/>
      <c r="H537" s="75"/>
      <c r="I537" s="25"/>
    </row>
    <row r="538" spans="1:9" ht="12" customHeight="1" outlineLevel="1">
      <c r="A538" s="74"/>
      <c r="B538" s="197" t="s">
        <v>49</v>
      </c>
      <c r="C538" s="173"/>
      <c r="D538" s="115" t="s">
        <v>133</v>
      </c>
      <c r="E538" s="140"/>
      <c r="F538" s="117">
        <f>(0.27*0.05*2+0.27*0.08*2+(0.27+0.05)*2*0.01+(0.27+0.08)*2*0.016)*13</f>
        <v>1.1399999999999999</v>
      </c>
      <c r="G538" s="55"/>
      <c r="H538" s="75"/>
      <c r="I538" s="25"/>
    </row>
    <row r="539" spans="1:9" outlineLevel="1">
      <c r="A539" s="74"/>
      <c r="B539" s="197" t="s">
        <v>49</v>
      </c>
      <c r="C539" s="173"/>
      <c r="D539" s="159" t="s">
        <v>50</v>
      </c>
      <c r="E539" s="146"/>
      <c r="F539" s="262">
        <f>SUM(F533:F538)</f>
        <v>22.47</v>
      </c>
      <c r="G539" s="55"/>
      <c r="H539" s="75"/>
      <c r="I539" s="25"/>
    </row>
    <row r="540" spans="1:9">
      <c r="A540" s="74"/>
      <c r="B540" s="102"/>
      <c r="C540" s="173"/>
      <c r="D540" s="92"/>
      <c r="E540" s="93"/>
      <c r="F540" s="94"/>
      <c r="G540" s="130"/>
      <c r="H540" s="95"/>
      <c r="I540" s="25"/>
    </row>
    <row r="541" spans="1:9" ht="24">
      <c r="A541" s="108">
        <v>3</v>
      </c>
      <c r="B541" s="156" t="s">
        <v>46</v>
      </c>
      <c r="C541" s="142" t="s">
        <v>140</v>
      </c>
      <c r="D541" s="109" t="s">
        <v>111</v>
      </c>
      <c r="E541" s="157" t="s">
        <v>52</v>
      </c>
      <c r="F541" s="255">
        <v>135.52000000000001</v>
      </c>
      <c r="G541" s="246"/>
      <c r="H541" s="82">
        <f>F541*G541</f>
        <v>0</v>
      </c>
      <c r="I541" s="170"/>
    </row>
    <row r="542" spans="1:9" outlineLevel="1">
      <c r="A542" s="74"/>
      <c r="B542" s="197" t="s">
        <v>49</v>
      </c>
      <c r="C542" s="173"/>
      <c r="D542" s="115" t="s">
        <v>75</v>
      </c>
      <c r="E542" s="140"/>
      <c r="F542" s="263">
        <v>135.52000000000001</v>
      </c>
      <c r="G542" s="55"/>
      <c r="H542" s="75"/>
      <c r="I542" s="25"/>
    </row>
    <row r="543" spans="1:9">
      <c r="A543" s="74"/>
      <c r="B543" s="102"/>
      <c r="C543" s="173"/>
      <c r="D543" s="92"/>
      <c r="E543" s="93"/>
      <c r="F543" s="94"/>
      <c r="G543" s="130"/>
      <c r="H543" s="95"/>
      <c r="I543" s="25"/>
    </row>
    <row r="544" spans="1:9">
      <c r="A544" s="108">
        <v>4</v>
      </c>
      <c r="B544" s="156" t="s">
        <v>46</v>
      </c>
      <c r="C544" s="142" t="s">
        <v>141</v>
      </c>
      <c r="D544" s="109" t="s">
        <v>112</v>
      </c>
      <c r="E544" s="157" t="s">
        <v>52</v>
      </c>
      <c r="F544" s="255">
        <v>22.47</v>
      </c>
      <c r="G544" s="246"/>
      <c r="H544" s="82">
        <f>F544*G544</f>
        <v>0</v>
      </c>
      <c r="I544" s="170"/>
    </row>
    <row r="545" spans="1:9" outlineLevel="1">
      <c r="A545" s="74"/>
      <c r="B545" s="197" t="s">
        <v>49</v>
      </c>
      <c r="C545" s="173"/>
      <c r="D545" s="115" t="s">
        <v>81</v>
      </c>
      <c r="E545" s="140"/>
      <c r="F545" s="263">
        <v>22.47</v>
      </c>
      <c r="G545" s="55"/>
      <c r="H545" s="75"/>
      <c r="I545" s="25"/>
    </row>
    <row r="546" spans="1:9">
      <c r="A546" s="74"/>
      <c r="B546" s="102"/>
      <c r="C546" s="173"/>
      <c r="D546" s="92"/>
      <c r="E546" s="93"/>
      <c r="F546" s="94"/>
      <c r="G546" s="130"/>
      <c r="H546" s="95"/>
      <c r="I546" s="25"/>
    </row>
    <row r="547" spans="1:9">
      <c r="A547" s="108">
        <v>5</v>
      </c>
      <c r="B547" s="156" t="s">
        <v>46</v>
      </c>
      <c r="C547" s="142" t="s">
        <v>142</v>
      </c>
      <c r="D547" s="109" t="s">
        <v>113</v>
      </c>
      <c r="E547" s="157" t="s">
        <v>52</v>
      </c>
      <c r="F547" s="255">
        <v>51.88</v>
      </c>
      <c r="G547" s="246"/>
      <c r="H547" s="82">
        <f>F547*G547</f>
        <v>0</v>
      </c>
      <c r="I547" s="170"/>
    </row>
    <row r="548" spans="1:9" ht="12" customHeight="1" outlineLevel="1">
      <c r="A548" s="74"/>
      <c r="B548" s="197" t="s">
        <v>49</v>
      </c>
      <c r="C548" s="173"/>
      <c r="D548" s="115" t="s">
        <v>168</v>
      </c>
      <c r="E548" s="93"/>
      <c r="F548" s="115"/>
      <c r="G548" s="55"/>
      <c r="H548" s="75"/>
      <c r="I548" s="25"/>
    </row>
    <row r="549" spans="1:9" ht="12" customHeight="1" outlineLevel="1">
      <c r="A549" s="74"/>
      <c r="B549" s="197" t="s">
        <v>49</v>
      </c>
      <c r="C549" s="173"/>
      <c r="D549" s="115" t="s">
        <v>169</v>
      </c>
      <c r="E549" s="140"/>
      <c r="F549" s="117">
        <f>11.33*4.56*0.5+4.56*0.25+11.33*0.25</f>
        <v>29.8</v>
      </c>
      <c r="G549" s="55"/>
      <c r="H549" s="75"/>
      <c r="I549" s="25"/>
    </row>
    <row r="550" spans="1:9" ht="12" customHeight="1" outlineLevel="1">
      <c r="A550" s="74"/>
      <c r="B550" s="197" t="s">
        <v>49</v>
      </c>
      <c r="C550" s="173"/>
      <c r="D550" s="115" t="s">
        <v>173</v>
      </c>
      <c r="E550" s="140"/>
      <c r="F550" s="117">
        <f>11.33*(2.75-2.58)*0.5+12.206*(0.25+0.08)*0.5</f>
        <v>2.98</v>
      </c>
      <c r="G550" s="55"/>
      <c r="H550" s="75"/>
      <c r="I550" s="25"/>
    </row>
    <row r="551" spans="1:9" ht="12" customHeight="1" outlineLevel="1">
      <c r="A551" s="74"/>
      <c r="B551" s="197" t="s">
        <v>49</v>
      </c>
      <c r="C551" s="173"/>
      <c r="D551" s="115" t="s">
        <v>167</v>
      </c>
      <c r="E551" s="140"/>
      <c r="F551" s="117"/>
      <c r="G551" s="55"/>
      <c r="H551" s="75"/>
      <c r="I551" s="25"/>
    </row>
    <row r="552" spans="1:9" ht="12" customHeight="1" outlineLevel="1">
      <c r="A552" s="74"/>
      <c r="B552" s="197" t="s">
        <v>49</v>
      </c>
      <c r="C552" s="173"/>
      <c r="D552" s="115" t="s">
        <v>170</v>
      </c>
      <c r="E552" s="140"/>
      <c r="F552" s="117">
        <f>(3.79+0.22)*0.5*8.91+0.189*0.2*0.5+(8.75+3.4)*0.1</f>
        <v>19.100000000000001</v>
      </c>
      <c r="G552" s="55"/>
      <c r="H552" s="75"/>
      <c r="I552" s="25"/>
    </row>
    <row r="553" spans="1:9" outlineLevel="1">
      <c r="A553" s="74"/>
      <c r="B553" s="197" t="s">
        <v>49</v>
      </c>
      <c r="C553" s="173"/>
      <c r="D553" s="159" t="s">
        <v>50</v>
      </c>
      <c r="E553" s="146"/>
      <c r="F553" s="262">
        <f>SUM(F549:F552)</f>
        <v>51.88</v>
      </c>
      <c r="G553" s="55"/>
      <c r="H553" s="75"/>
      <c r="I553" s="25"/>
    </row>
    <row r="554" spans="1:9">
      <c r="A554" s="74"/>
      <c r="B554" s="102"/>
      <c r="C554" s="173"/>
      <c r="D554" s="304"/>
      <c r="E554" s="93"/>
      <c r="F554" s="204"/>
      <c r="G554" s="130"/>
      <c r="H554" s="95"/>
      <c r="I554" s="25"/>
    </row>
    <row r="555" spans="1:9">
      <c r="A555" s="108">
        <v>6</v>
      </c>
      <c r="B555" s="156" t="s">
        <v>46</v>
      </c>
      <c r="C555" s="142" t="s">
        <v>143</v>
      </c>
      <c r="D555" s="109" t="s">
        <v>114</v>
      </c>
      <c r="E555" s="157" t="s">
        <v>52</v>
      </c>
      <c r="F555" s="255">
        <v>19.89</v>
      </c>
      <c r="G555" s="246"/>
      <c r="H555" s="82">
        <f>F555*G555</f>
        <v>0</v>
      </c>
      <c r="I555" s="170"/>
    </row>
    <row r="556" spans="1:9" ht="12" customHeight="1" outlineLevel="1">
      <c r="A556" s="74"/>
      <c r="B556" s="197" t="s">
        <v>49</v>
      </c>
      <c r="C556" s="173"/>
      <c r="D556" s="153" t="s">
        <v>129</v>
      </c>
      <c r="E556" s="140"/>
      <c r="F556" s="261"/>
      <c r="G556" s="55"/>
      <c r="H556" s="75"/>
      <c r="I556" s="25"/>
    </row>
    <row r="557" spans="1:9" ht="12" customHeight="1" outlineLevel="1">
      <c r="A557" s="74"/>
      <c r="B557" s="197" t="s">
        <v>49</v>
      </c>
      <c r="C557" s="173"/>
      <c r="D557" s="115" t="s">
        <v>134</v>
      </c>
      <c r="E557" s="140"/>
      <c r="F557" s="117">
        <f>0.08*4*2.5*5</f>
        <v>4</v>
      </c>
      <c r="G557" s="55"/>
      <c r="H557" s="75"/>
      <c r="I557" s="25"/>
    </row>
    <row r="558" spans="1:9" ht="12" customHeight="1" outlineLevel="1">
      <c r="A558" s="74"/>
      <c r="B558" s="197" t="s">
        <v>49</v>
      </c>
      <c r="C558" s="173"/>
      <c r="D558" s="153" t="s">
        <v>129</v>
      </c>
      <c r="E558" s="140"/>
      <c r="F558" s="264"/>
      <c r="G558" s="55"/>
      <c r="H558" s="75"/>
      <c r="I558" s="25"/>
    </row>
    <row r="559" spans="1:9" ht="12" customHeight="1" outlineLevel="1">
      <c r="A559" s="74"/>
      <c r="B559" s="197" t="s">
        <v>49</v>
      </c>
      <c r="C559" s="173"/>
      <c r="D559" s="115" t="s">
        <v>135</v>
      </c>
      <c r="E559" s="140"/>
      <c r="F559" s="117">
        <f>(0.08+0.05)*2*2.5*2</f>
        <v>1.3</v>
      </c>
      <c r="G559" s="55"/>
      <c r="H559" s="75"/>
      <c r="I559" s="25"/>
    </row>
    <row r="560" spans="1:9" ht="12" customHeight="1" outlineLevel="1">
      <c r="A560" s="74"/>
      <c r="B560" s="197" t="s">
        <v>49</v>
      </c>
      <c r="C560" s="173"/>
      <c r="D560" s="153" t="s">
        <v>130</v>
      </c>
      <c r="E560" s="140"/>
      <c r="F560" s="264"/>
      <c r="G560" s="55"/>
      <c r="H560" s="75"/>
      <c r="I560" s="25"/>
    </row>
    <row r="561" spans="1:12" ht="12" customHeight="1" outlineLevel="1">
      <c r="A561" s="74"/>
      <c r="B561" s="197" t="s">
        <v>49</v>
      </c>
      <c r="C561" s="173"/>
      <c r="D561" s="115" t="s">
        <v>171</v>
      </c>
      <c r="E561" s="140"/>
      <c r="F561" s="117">
        <f>((0.05+0.02+0.05+0.05)*2*2.5+(0.03+0.005)*2*3.6)*13</f>
        <v>14.33</v>
      </c>
      <c r="G561" s="55"/>
      <c r="H561" s="75"/>
      <c r="I561" s="25"/>
    </row>
    <row r="562" spans="1:12" ht="12" customHeight="1" outlineLevel="1">
      <c r="A562" s="74"/>
      <c r="B562" s="197" t="s">
        <v>49</v>
      </c>
      <c r="C562" s="173"/>
      <c r="D562" s="115" t="s">
        <v>136</v>
      </c>
      <c r="E562" s="140"/>
      <c r="F562" s="117">
        <f>(0.27*0.05+(0.27+0.05)*2*0.01)*13</f>
        <v>0.26</v>
      </c>
      <c r="G562" s="55"/>
      <c r="H562" s="75"/>
      <c r="I562" s="25"/>
    </row>
    <row r="563" spans="1:12" ht="12" customHeight="1" outlineLevel="1">
      <c r="A563" s="74"/>
      <c r="B563" s="197" t="s">
        <v>49</v>
      </c>
      <c r="C563" s="173"/>
      <c r="D563" s="159" t="s">
        <v>50</v>
      </c>
      <c r="E563" s="146"/>
      <c r="F563" s="167">
        <f>SUM(F557:F562)</f>
        <v>19.89</v>
      </c>
      <c r="G563" s="55"/>
      <c r="H563" s="75"/>
      <c r="I563" s="25"/>
    </row>
    <row r="564" spans="1:12">
      <c r="A564" s="74"/>
      <c r="B564" s="102"/>
      <c r="C564" s="173"/>
      <c r="D564" s="53"/>
      <c r="E564" s="93"/>
      <c r="F564" s="259"/>
      <c r="G564" s="55"/>
      <c r="H564" s="75"/>
      <c r="I564" s="25"/>
    </row>
    <row r="565" spans="1:12">
      <c r="A565" s="108">
        <v>7</v>
      </c>
      <c r="B565" s="156" t="s">
        <v>46</v>
      </c>
      <c r="C565" s="142" t="s">
        <v>144</v>
      </c>
      <c r="D565" s="109" t="s">
        <v>115</v>
      </c>
      <c r="E565" s="157" t="s">
        <v>52</v>
      </c>
      <c r="F565" s="255">
        <v>51.88</v>
      </c>
      <c r="G565" s="246"/>
      <c r="H565" s="82">
        <f>F565*G565</f>
        <v>0</v>
      </c>
      <c r="I565" s="170"/>
      <c r="L565" s="5"/>
    </row>
    <row r="566" spans="1:12" outlineLevel="1">
      <c r="A566" s="74"/>
      <c r="B566" s="197" t="s">
        <v>49</v>
      </c>
      <c r="C566" s="173"/>
      <c r="D566" s="115" t="s">
        <v>67</v>
      </c>
      <c r="E566" s="140"/>
      <c r="F566" s="263">
        <v>51.88</v>
      </c>
      <c r="G566" s="55"/>
      <c r="H566" s="75"/>
      <c r="I566" s="25"/>
    </row>
    <row r="567" spans="1:12">
      <c r="A567" s="74"/>
      <c r="B567" s="102"/>
      <c r="C567" s="173"/>
      <c r="D567" s="53"/>
      <c r="E567" s="93"/>
      <c r="F567" s="259"/>
      <c r="G567" s="55"/>
      <c r="H567" s="75"/>
      <c r="I567" s="25"/>
    </row>
    <row r="568" spans="1:12">
      <c r="A568" s="108">
        <v>8</v>
      </c>
      <c r="B568" s="156" t="s">
        <v>46</v>
      </c>
      <c r="C568" s="142" t="s">
        <v>145</v>
      </c>
      <c r="D568" s="109" t="s">
        <v>116</v>
      </c>
      <c r="E568" s="157" t="s">
        <v>52</v>
      </c>
      <c r="F568" s="255">
        <v>19.89</v>
      </c>
      <c r="G568" s="246"/>
      <c r="H568" s="82">
        <f>F568*G568</f>
        <v>0</v>
      </c>
      <c r="I568" s="170"/>
    </row>
    <row r="569" spans="1:12" outlineLevel="1">
      <c r="A569" s="74"/>
      <c r="B569" s="197" t="s">
        <v>49</v>
      </c>
      <c r="C569" s="179"/>
      <c r="D569" s="115" t="s">
        <v>137</v>
      </c>
      <c r="E569" s="93"/>
      <c r="F569" s="263">
        <v>19.89</v>
      </c>
      <c r="G569" s="55"/>
      <c r="H569" s="75"/>
      <c r="I569" s="25"/>
    </row>
    <row r="570" spans="1:12">
      <c r="A570" s="74"/>
      <c r="B570" s="92"/>
      <c r="C570" s="179"/>
      <c r="D570" s="92"/>
      <c r="E570" s="93"/>
      <c r="F570" s="94"/>
      <c r="G570" s="130"/>
      <c r="H570" s="95"/>
      <c r="I570" s="25"/>
    </row>
    <row r="571" spans="1:12">
      <c r="A571" s="247"/>
      <c r="B571" s="247" t="s">
        <v>45</v>
      </c>
      <c r="C571" s="248" t="s">
        <v>91</v>
      </c>
      <c r="D571" s="249" t="s">
        <v>110</v>
      </c>
      <c r="E571" s="250"/>
      <c r="F571" s="251"/>
      <c r="G571" s="252"/>
      <c r="H571" s="253">
        <f>SUM(H572:H586)</f>
        <v>0</v>
      </c>
      <c r="I571" s="254"/>
    </row>
    <row r="572" spans="1:12" ht="24">
      <c r="A572" s="81">
        <v>1</v>
      </c>
      <c r="B572" s="81" t="s">
        <v>46</v>
      </c>
      <c r="C572" s="81" t="s">
        <v>92</v>
      </c>
      <c r="D572" s="88" t="s">
        <v>106</v>
      </c>
      <c r="E572" s="225" t="s">
        <v>62</v>
      </c>
      <c r="F572" s="255">
        <v>2900</v>
      </c>
      <c r="G572" s="246"/>
      <c r="H572" s="82">
        <f>F572*G572</f>
        <v>0</v>
      </c>
      <c r="I572" s="69"/>
    </row>
    <row r="573" spans="1:12" outlineLevel="1">
      <c r="B573" s="197" t="s">
        <v>49</v>
      </c>
      <c r="D573" s="119" t="s">
        <v>93</v>
      </c>
    </row>
    <row r="575" spans="1:12" ht="24">
      <c r="A575" s="81">
        <v>2</v>
      </c>
      <c r="B575" s="81" t="s">
        <v>46</v>
      </c>
      <c r="C575" s="81" t="s">
        <v>94</v>
      </c>
      <c r="D575" s="88" t="s">
        <v>105</v>
      </c>
      <c r="E575" s="225" t="s">
        <v>62</v>
      </c>
      <c r="F575" s="255">
        <v>1600</v>
      </c>
      <c r="G575" s="246"/>
      <c r="H575" s="82">
        <f>F575*G575</f>
        <v>0</v>
      </c>
      <c r="I575" s="69"/>
    </row>
    <row r="576" spans="1:12" outlineLevel="1">
      <c r="B576" s="197" t="s">
        <v>49</v>
      </c>
      <c r="D576" s="119" t="s">
        <v>95</v>
      </c>
    </row>
    <row r="578" spans="1:9" ht="24">
      <c r="A578" s="81">
        <v>3</v>
      </c>
      <c r="B578" s="81" t="s">
        <v>46</v>
      </c>
      <c r="C578" s="81" t="s">
        <v>96</v>
      </c>
      <c r="D578" s="88" t="s">
        <v>107</v>
      </c>
      <c r="E578" s="225" t="s">
        <v>62</v>
      </c>
      <c r="F578" s="256">
        <v>204.05</v>
      </c>
      <c r="G578" s="246"/>
      <c r="H578" s="82">
        <f>F578*G578</f>
        <v>0</v>
      </c>
      <c r="I578" s="69"/>
    </row>
    <row r="579" spans="1:9" outlineLevel="1">
      <c r="B579" s="197" t="s">
        <v>49</v>
      </c>
      <c r="D579" s="197" t="s">
        <v>98</v>
      </c>
      <c r="E579" s="161"/>
      <c r="F579" s="141"/>
    </row>
    <row r="580" spans="1:9" outlineLevel="1">
      <c r="B580" s="197" t="s">
        <v>49</v>
      </c>
      <c r="D580" s="197" t="s">
        <v>97</v>
      </c>
      <c r="E580" s="161"/>
      <c r="F580" s="141">
        <f>40.81*5</f>
        <v>204.05</v>
      </c>
    </row>
    <row r="581" spans="1:9">
      <c r="F581" s="96"/>
    </row>
    <row r="582" spans="1:9" ht="24">
      <c r="A582" s="81">
        <v>4</v>
      </c>
      <c r="B582" s="81" t="s">
        <v>46</v>
      </c>
      <c r="C582" s="81" t="s">
        <v>101</v>
      </c>
      <c r="D582" s="88" t="s">
        <v>108</v>
      </c>
      <c r="E582" s="225" t="s">
        <v>62</v>
      </c>
      <c r="F582" s="256">
        <v>38.619999999999997</v>
      </c>
      <c r="G582" s="246"/>
      <c r="H582" s="82">
        <f>F582*G582</f>
        <v>0</v>
      </c>
      <c r="I582" s="69"/>
    </row>
    <row r="583" spans="1:9" outlineLevel="1">
      <c r="B583" s="197" t="s">
        <v>49</v>
      </c>
      <c r="D583" s="197" t="s">
        <v>99</v>
      </c>
      <c r="E583" s="161"/>
      <c r="F583" s="141"/>
    </row>
    <row r="584" spans="1:9" outlineLevel="1">
      <c r="B584" s="197" t="s">
        <v>49</v>
      </c>
      <c r="D584" s="197" t="s">
        <v>100</v>
      </c>
      <c r="E584" s="161"/>
      <c r="F584" s="141">
        <f>19.31*2</f>
        <v>38.619999999999997</v>
      </c>
    </row>
    <row r="586" spans="1:9" ht="24" customHeight="1">
      <c r="A586" s="81">
        <v>5</v>
      </c>
      <c r="B586" s="81" t="s">
        <v>46</v>
      </c>
      <c r="C586" s="81" t="s">
        <v>102</v>
      </c>
      <c r="D586" s="88" t="s">
        <v>109</v>
      </c>
      <c r="E586" s="225" t="s">
        <v>62</v>
      </c>
      <c r="F586" s="256">
        <v>38.619999999999997</v>
      </c>
      <c r="G586" s="246"/>
      <c r="H586" s="82">
        <f>F586*G586</f>
        <v>0</v>
      </c>
      <c r="I586" s="69"/>
    </row>
    <row r="587" spans="1:9" outlineLevel="1">
      <c r="B587" s="197" t="s">
        <v>49</v>
      </c>
      <c r="D587" s="197" t="s">
        <v>103</v>
      </c>
      <c r="E587" s="161"/>
      <c r="F587" s="141"/>
    </row>
    <row r="588" spans="1:9" outlineLevel="1">
      <c r="B588" s="197" t="s">
        <v>49</v>
      </c>
      <c r="D588" s="197" t="s">
        <v>104</v>
      </c>
      <c r="E588" s="161"/>
      <c r="F588" s="141">
        <f>29.41*13</f>
        <v>382.33</v>
      </c>
    </row>
    <row r="589" spans="1:9" ht="12.75" customHeight="1"/>
    <row r="590" spans="1:9">
      <c r="A590" s="339"/>
      <c r="B590" s="166" t="s">
        <v>45</v>
      </c>
      <c r="C590" s="340" t="s">
        <v>276</v>
      </c>
      <c r="D590" s="92" t="s">
        <v>277</v>
      </c>
      <c r="E590" s="341"/>
      <c r="F590" s="342"/>
      <c r="G590" s="343"/>
      <c r="H590" s="344">
        <f>SUM(H591:H594)</f>
        <v>0</v>
      </c>
      <c r="I590" s="345"/>
    </row>
    <row r="591" spans="1:9">
      <c r="A591" s="97">
        <v>1</v>
      </c>
      <c r="B591" s="97" t="s">
        <v>54</v>
      </c>
      <c r="C591" s="172" t="s">
        <v>278</v>
      </c>
      <c r="D591" s="346" t="s">
        <v>281</v>
      </c>
      <c r="E591" s="99" t="s">
        <v>55</v>
      </c>
      <c r="F591" s="347">
        <v>1</v>
      </c>
      <c r="G591" s="131"/>
      <c r="H591" s="68">
        <f>F591*G591</f>
        <v>0</v>
      </c>
      <c r="I591" s="348"/>
    </row>
    <row r="592" spans="1:9" outlineLevel="1">
      <c r="A592" s="333"/>
      <c r="B592" s="70" t="s">
        <v>49</v>
      </c>
      <c r="C592" s="334"/>
      <c r="D592" s="349" t="s">
        <v>280</v>
      </c>
      <c r="E592" s="350"/>
      <c r="F592" s="351">
        <v>1</v>
      </c>
      <c r="G592" s="338"/>
      <c r="H592" s="71"/>
      <c r="I592" s="352"/>
    </row>
    <row r="593" spans="1:9">
      <c r="B593" s="70"/>
      <c r="D593" s="349"/>
      <c r="E593" s="336"/>
      <c r="F593" s="353"/>
    </row>
    <row r="594" spans="1:9">
      <c r="A594" s="346">
        <v>2</v>
      </c>
      <c r="B594" s="67" t="s">
        <v>46</v>
      </c>
      <c r="C594" s="85">
        <v>453432201</v>
      </c>
      <c r="D594" s="346" t="s">
        <v>279</v>
      </c>
      <c r="E594" s="354" t="s">
        <v>55</v>
      </c>
      <c r="F594" s="355">
        <v>1</v>
      </c>
      <c r="G594" s="356"/>
      <c r="H594" s="68">
        <f>F594*G594</f>
        <v>0</v>
      </c>
      <c r="I594" s="357"/>
    </row>
    <row r="595" spans="1:9" outlineLevel="1">
      <c r="A595" s="102"/>
      <c r="B595" s="70" t="s">
        <v>49</v>
      </c>
      <c r="C595" s="173"/>
      <c r="D595" s="349" t="s">
        <v>280</v>
      </c>
      <c r="E595" s="350"/>
      <c r="F595" s="353">
        <v>1</v>
      </c>
      <c r="G595" s="132"/>
      <c r="H595" s="71"/>
      <c r="I595" s="358"/>
    </row>
    <row r="598" spans="1:9">
      <c r="A598" s="466"/>
      <c r="B598" s="247" t="s">
        <v>45</v>
      </c>
      <c r="C598" s="464" t="s">
        <v>457</v>
      </c>
      <c r="D598" s="465" t="s">
        <v>456</v>
      </c>
      <c r="E598" s="226"/>
      <c r="F598" s="467"/>
      <c r="G598" s="468"/>
      <c r="H598" s="469"/>
      <c r="I598" s="469"/>
    </row>
    <row r="599" spans="1:9">
      <c r="A599" s="182">
        <v>1</v>
      </c>
      <c r="B599" s="182" t="s">
        <v>46</v>
      </c>
      <c r="C599" s="470"/>
      <c r="D599" s="471" t="s">
        <v>32</v>
      </c>
      <c r="E599" s="471" t="s">
        <v>385</v>
      </c>
      <c r="F599" s="347">
        <v>1</v>
      </c>
      <c r="G599" s="356"/>
      <c r="H599" s="68">
        <f>F599*G599</f>
        <v>0</v>
      </c>
      <c r="I599" s="472"/>
    </row>
    <row r="600" spans="1:9">
      <c r="C600" s="177"/>
      <c r="D600" s="234"/>
      <c r="E600" s="234"/>
      <c r="F600" s="232"/>
      <c r="G600" s="235"/>
      <c r="H600" s="232"/>
      <c r="I600" s="232"/>
    </row>
    <row r="601" spans="1:9">
      <c r="A601" s="182">
        <v>2</v>
      </c>
      <c r="B601" s="182" t="s">
        <v>46</v>
      </c>
      <c r="C601" s="470"/>
      <c r="D601" s="471" t="s">
        <v>282</v>
      </c>
      <c r="E601" s="471" t="s">
        <v>385</v>
      </c>
      <c r="F601" s="347">
        <v>1</v>
      </c>
      <c r="G601" s="356"/>
      <c r="H601" s="68">
        <f>F601*G601</f>
        <v>0</v>
      </c>
      <c r="I601" s="472"/>
    </row>
    <row r="602" spans="1:9">
      <c r="C602" s="177"/>
      <c r="D602" s="234"/>
      <c r="E602" s="234"/>
      <c r="F602" s="232"/>
      <c r="G602" s="235"/>
      <c r="H602" s="232"/>
      <c r="I602" s="232"/>
    </row>
    <row r="603" spans="1:9">
      <c r="A603" s="182">
        <v>3</v>
      </c>
      <c r="B603" s="182" t="s">
        <v>46</v>
      </c>
      <c r="C603" s="470"/>
      <c r="D603" s="471" t="s">
        <v>33</v>
      </c>
      <c r="E603" s="471" t="s">
        <v>385</v>
      </c>
      <c r="F603" s="347">
        <v>1</v>
      </c>
      <c r="G603" s="356"/>
      <c r="H603" s="68">
        <f>F603*G603</f>
        <v>0</v>
      </c>
      <c r="I603" s="472"/>
    </row>
  </sheetData>
  <sheetProtection selectLockedCells="1" selectUnlockedCells="1"/>
  <pageMargins left="0.47222222222222221" right="0.19652777777777777" top="0.59097222222222223" bottom="0.39374999999999999" header="0.31527777777777777" footer="0.51180555555555551"/>
  <pageSetup paperSize="9" scale="80" firstPageNumber="0" orientation="portrait" horizontalDpi="300" verticalDpi="300" r:id="rId1"/>
  <headerFooter alignWithMargins="0">
    <oddHeader>&amp;R&amp;"Calibri,Běžné"&amp;11&amp;P</oddHeader>
  </headerFooter>
  <rowBreaks count="2" manualBreakCount="2">
    <brk id="17" max="16383" man="1"/>
    <brk id="54" max="10" man="1"/>
  </rowBreaks>
  <ignoredErrors>
    <ignoredError sqref="H184 H186:H187 F15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</vt:lpstr>
      <vt:lpstr>soupis!Oblast_tisku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Hanka</cp:lastModifiedBy>
  <cp:lastPrinted>2016-08-22T16:20:29Z</cp:lastPrinted>
  <dcterms:created xsi:type="dcterms:W3CDTF">2014-11-19T01:19:33Z</dcterms:created>
  <dcterms:modified xsi:type="dcterms:W3CDTF">2016-08-23T14:10:46Z</dcterms:modified>
</cp:coreProperties>
</file>