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10" windowWidth="19035" windowHeight="11535"/>
  </bookViews>
  <sheets>
    <sheet name="Dospělí" sheetId="1" r:id="rId1"/>
    <sheet name="Děti" sheetId="2" r:id="rId2"/>
    <sheet name="Historické" sheetId="3" r:id="rId3"/>
  </sheets>
  <calcPr calcId="145621"/>
</workbook>
</file>

<file path=xl/calcChain.xml><?xml version="1.0" encoding="utf-8"?>
<calcChain xmlns="http://schemas.openxmlformats.org/spreadsheetml/2006/main">
  <c r="V6" i="3" l="1"/>
  <c r="Y48" i="2"/>
  <c r="G132" i="1"/>
  <c r="X16" i="1"/>
  <c r="X146" i="1"/>
  <c r="X147" i="1"/>
  <c r="X161" i="1"/>
  <c r="X176" i="1"/>
  <c r="X177" i="1"/>
  <c r="X183" i="1"/>
  <c r="X184" i="1"/>
  <c r="X191" i="1"/>
  <c r="E100" i="1"/>
  <c r="G12" i="3"/>
  <c r="I12" i="3"/>
  <c r="M12" i="3"/>
  <c r="I11" i="3"/>
  <c r="K11" i="3"/>
  <c r="G11" i="3"/>
  <c r="I10" i="3"/>
  <c r="G10" i="3"/>
  <c r="E10" i="3"/>
  <c r="I9" i="3"/>
  <c r="G9" i="3"/>
  <c r="E9" i="3"/>
  <c r="O8" i="3"/>
  <c r="S7" i="3"/>
  <c r="I7" i="3"/>
  <c r="E7" i="3"/>
  <c r="E6" i="3"/>
  <c r="E5" i="3"/>
  <c r="K4" i="3"/>
  <c r="E4" i="3"/>
  <c r="J74" i="2"/>
  <c r="H74" i="2"/>
  <c r="F74" i="2"/>
  <c r="X73" i="2"/>
  <c r="H73" i="2"/>
  <c r="J72" i="2"/>
  <c r="H72" i="2"/>
  <c r="Y72" i="2" s="1"/>
  <c r="F72" i="2"/>
  <c r="J71" i="2"/>
  <c r="L71" i="2"/>
  <c r="F71" i="2"/>
  <c r="F70" i="2"/>
  <c r="V69" i="2"/>
  <c r="P69" i="2"/>
  <c r="L69" i="2"/>
  <c r="F68" i="2"/>
  <c r="F67" i="2"/>
  <c r="F66" i="2"/>
  <c r="F65" i="2"/>
  <c r="F64" i="2"/>
  <c r="F63" i="2"/>
  <c r="F62" i="2"/>
  <c r="F61" i="2"/>
  <c r="F60" i="2"/>
  <c r="F59" i="2"/>
  <c r="F58" i="2"/>
  <c r="H57" i="2"/>
  <c r="H56" i="2"/>
  <c r="F55" i="2"/>
  <c r="H54" i="2"/>
  <c r="F53" i="2"/>
  <c r="F52" i="2"/>
  <c r="T50" i="2"/>
  <c r="F50" i="2"/>
  <c r="P49" i="2"/>
  <c r="Y49" i="2" s="1"/>
  <c r="N49" i="2"/>
  <c r="F48" i="2"/>
  <c r="J47" i="2"/>
  <c r="F47" i="2"/>
  <c r="N46" i="2"/>
  <c r="H46" i="2"/>
  <c r="F46" i="2"/>
  <c r="F45" i="2"/>
  <c r="J44" i="2"/>
  <c r="F44" i="2"/>
  <c r="J43" i="2"/>
  <c r="H43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H25" i="2"/>
  <c r="F25" i="2"/>
  <c r="N24" i="2"/>
  <c r="J24" i="2"/>
  <c r="R23" i="2"/>
  <c r="H23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V10" i="2"/>
  <c r="N10" i="2"/>
  <c r="F10" i="2"/>
  <c r="J9" i="2"/>
  <c r="F9" i="2"/>
  <c r="F8" i="2"/>
  <c r="J7" i="2"/>
  <c r="H7" i="2"/>
  <c r="F7" i="2"/>
  <c r="F6" i="2"/>
  <c r="F5" i="2"/>
  <c r="H4" i="2"/>
  <c r="F4" i="2"/>
  <c r="S196" i="1"/>
  <c r="I196" i="1"/>
  <c r="E196" i="1"/>
  <c r="K193" i="1"/>
  <c r="Q192" i="1"/>
  <c r="O192" i="1"/>
  <c r="I192" i="1"/>
  <c r="E191" i="1"/>
  <c r="I188" i="1"/>
  <c r="E188" i="1"/>
  <c r="K187" i="1"/>
  <c r="I187" i="1"/>
  <c r="E187" i="1"/>
  <c r="M183" i="1"/>
  <c r="M178" i="1"/>
  <c r="I178" i="1"/>
  <c r="E178" i="1"/>
  <c r="K175" i="1"/>
  <c r="S170" i="1"/>
  <c r="M164" i="1"/>
  <c r="O164" i="1"/>
  <c r="I164" i="1"/>
  <c r="U163" i="1"/>
  <c r="O163" i="1"/>
  <c r="K163" i="1"/>
  <c r="U154" i="1"/>
  <c r="M152" i="1"/>
  <c r="G152" i="1"/>
  <c r="E152" i="1"/>
  <c r="U151" i="1"/>
  <c r="Q151" i="1"/>
  <c r="K151" i="1"/>
  <c r="U143" i="1"/>
  <c r="E143" i="1"/>
  <c r="K142" i="1"/>
  <c r="O138" i="1"/>
  <c r="M138" i="1"/>
  <c r="E138" i="1"/>
  <c r="S136" i="1"/>
  <c r="G136" i="1"/>
  <c r="K135" i="1"/>
  <c r="I135" i="1"/>
  <c r="E135" i="1"/>
  <c r="E132" i="1"/>
  <c r="Q126" i="1"/>
  <c r="K126" i="1"/>
  <c r="M125" i="1"/>
  <c r="I125" i="1"/>
  <c r="I124" i="1"/>
  <c r="K123" i="1"/>
  <c r="G123" i="1"/>
  <c r="I115" i="1"/>
  <c r="G115" i="1"/>
  <c r="I110" i="1"/>
  <c r="I106" i="1"/>
  <c r="S104" i="1"/>
  <c r="U98" i="1"/>
  <c r="I98" i="1"/>
  <c r="G98" i="1"/>
  <c r="G97" i="1"/>
  <c r="G90" i="1"/>
  <c r="S83" i="1"/>
  <c r="M83" i="1"/>
  <c r="G83" i="1"/>
  <c r="K81" i="1"/>
  <c r="G81" i="1"/>
  <c r="O79" i="1"/>
  <c r="M79" i="1"/>
  <c r="G79" i="1"/>
  <c r="S76" i="1"/>
  <c r="Q76" i="1"/>
  <c r="E76" i="1"/>
  <c r="O75" i="1"/>
  <c r="I75" i="1"/>
  <c r="G75" i="1"/>
  <c r="I74" i="1"/>
  <c r="G74" i="1"/>
  <c r="I68" i="1"/>
  <c r="O67" i="1"/>
  <c r="M67" i="1"/>
  <c r="G67" i="1"/>
  <c r="M58" i="1"/>
  <c r="K58" i="1"/>
  <c r="W50" i="1"/>
  <c r="Q50" i="1"/>
  <c r="M50" i="1"/>
  <c r="K48" i="1"/>
  <c r="W47" i="1"/>
  <c r="G47" i="1"/>
  <c r="E47" i="1"/>
  <c r="K41" i="1"/>
  <c r="O41" i="1"/>
  <c r="Q40" i="1"/>
  <c r="I40" i="1"/>
  <c r="O38" i="1"/>
  <c r="W37" i="1"/>
  <c r="O37" i="1"/>
  <c r="K37" i="1"/>
  <c r="U36" i="1"/>
  <c r="I33" i="1"/>
  <c r="W30" i="1"/>
  <c r="M30" i="1"/>
  <c r="K30" i="1"/>
  <c r="W27" i="1"/>
  <c r="O27" i="1"/>
  <c r="E27" i="1"/>
  <c r="K25" i="1"/>
  <c r="I25" i="1"/>
  <c r="K22" i="1"/>
  <c r="G22" i="1"/>
  <c r="E21" i="1"/>
  <c r="O19" i="1"/>
  <c r="M19" i="1"/>
  <c r="G19" i="1"/>
  <c r="S18" i="1"/>
  <c r="M18" i="1"/>
  <c r="I16" i="1"/>
  <c r="I15" i="1"/>
  <c r="G15" i="1"/>
  <c r="G14" i="1"/>
  <c r="E14" i="1"/>
  <c r="I13" i="1"/>
  <c r="E13" i="1"/>
  <c r="S12" i="1"/>
  <c r="M12" i="1"/>
  <c r="G12" i="1"/>
  <c r="O6" i="1"/>
  <c r="K4" i="1"/>
  <c r="Y71" i="2" l="1"/>
  <c r="J4" i="2"/>
  <c r="K183" i="1"/>
  <c r="G177" i="1"/>
  <c r="G166" i="1"/>
  <c r="M163" i="1"/>
  <c r="I163" i="1"/>
  <c r="E161" i="1"/>
  <c r="S143" i="1"/>
  <c r="G143" i="1"/>
  <c r="W127" i="1"/>
  <c r="W126" i="1"/>
  <c r="M126" i="1"/>
  <c r="E126" i="1"/>
  <c r="E116" i="1"/>
  <c r="K115" i="1"/>
  <c r="E110" i="1"/>
  <c r="E109" i="1"/>
  <c r="Q106" i="1"/>
  <c r="U88" i="1"/>
  <c r="K88" i="1"/>
  <c r="I87" i="1"/>
  <c r="O83" i="1"/>
  <c r="U79" i="1"/>
  <c r="E68" i="1"/>
  <c r="G58" i="1"/>
  <c r="O50" i="1"/>
  <c r="I50" i="1"/>
  <c r="U47" i="1"/>
  <c r="I47" i="1"/>
  <c r="S37" i="1"/>
  <c r="I30" i="1"/>
  <c r="Q27" i="1"/>
  <c r="S25" i="1"/>
  <c r="Q25" i="1"/>
  <c r="K19" i="1"/>
  <c r="G18" i="1"/>
  <c r="W16" i="1"/>
  <c r="S16" i="1"/>
  <c r="E12" i="1"/>
  <c r="E8" i="1"/>
  <c r="E8" i="3"/>
  <c r="H71" i="2"/>
  <c r="H70" i="2"/>
  <c r="U192" i="1"/>
  <c r="M169" i="1"/>
  <c r="I169" i="1"/>
  <c r="I151" i="1"/>
  <c r="E151" i="1"/>
  <c r="I132" i="1"/>
  <c r="S126" i="1"/>
  <c r="W98" i="1"/>
  <c r="M98" i="1"/>
  <c r="E79" i="1"/>
  <c r="O76" i="1"/>
  <c r="O40" i="1"/>
  <c r="Q16" i="1"/>
  <c r="K8" i="3"/>
  <c r="K7" i="3"/>
  <c r="P70" i="2"/>
  <c r="X69" i="2"/>
  <c r="F69" i="2"/>
  <c r="L10" i="2"/>
  <c r="O200" i="1"/>
  <c r="K189" i="1"/>
  <c r="G187" i="1"/>
  <c r="O177" i="1"/>
  <c r="G174" i="1"/>
  <c r="U170" i="1"/>
  <c r="K164" i="1"/>
  <c r="W151" i="1"/>
  <c r="E145" i="1"/>
  <c r="K138" i="1"/>
  <c r="K136" i="1"/>
  <c r="M135" i="1"/>
  <c r="O132" i="1"/>
  <c r="G130" i="1"/>
  <c r="G128" i="1"/>
  <c r="Q104" i="1"/>
  <c r="W89" i="1"/>
  <c r="I88" i="1"/>
  <c r="K79" i="1"/>
  <c r="K76" i="1"/>
  <c r="I76" i="1"/>
  <c r="E67" i="1"/>
  <c r="G59" i="1"/>
  <c r="E44" i="1"/>
  <c r="W40" i="1"/>
  <c r="E40" i="1"/>
  <c r="G32" i="1"/>
  <c r="G27" i="1"/>
  <c r="M25" i="1"/>
  <c r="E22" i="1"/>
  <c r="W18" i="1"/>
  <c r="E10" i="1"/>
  <c r="S6" i="1"/>
  <c r="M6" i="1"/>
  <c r="M4" i="1"/>
  <c r="H51" i="2"/>
  <c r="I122" i="1"/>
  <c r="Q30" i="1"/>
  <c r="O4" i="1"/>
  <c r="L47" i="2" l="1"/>
  <c r="Y47" i="2" s="1"/>
  <c r="X25" i="2"/>
  <c r="N23" i="2"/>
  <c r="X204" i="1"/>
  <c r="V7" i="3" l="1"/>
  <c r="V9" i="3"/>
  <c r="V8" i="3"/>
  <c r="V12" i="3"/>
  <c r="V4" i="3"/>
  <c r="V11" i="3"/>
  <c r="V10" i="3"/>
  <c r="V5" i="3"/>
  <c r="Y19" i="2" l="1"/>
  <c r="Y9" i="2"/>
  <c r="Y43" i="2"/>
  <c r="Y18" i="2"/>
  <c r="Y20" i="2"/>
  <c r="Y44" i="2"/>
  <c r="Y45" i="2"/>
  <c r="Y28" i="2"/>
  <c r="Y30" i="2"/>
  <c r="Y29" i="2"/>
  <c r="Y31" i="2"/>
  <c r="Y21" i="2"/>
  <c r="Y22" i="2"/>
  <c r="Y38" i="2"/>
  <c r="Y42" i="2"/>
  <c r="Y39" i="2"/>
  <c r="Y40" i="2"/>
  <c r="Y41" i="2"/>
  <c r="Y6" i="2"/>
  <c r="Y7" i="2"/>
  <c r="Y11" i="2"/>
  <c r="Y12" i="2"/>
  <c r="Y13" i="2"/>
  <c r="Y14" i="2"/>
  <c r="Y15" i="2"/>
  <c r="Y16" i="2"/>
  <c r="Y17" i="2"/>
  <c r="Y74" i="2"/>
  <c r="Y51" i="2"/>
  <c r="Y52" i="2"/>
  <c r="Y53" i="2"/>
  <c r="Y54" i="2"/>
  <c r="Y55" i="2"/>
  <c r="Y56" i="2"/>
  <c r="Y57" i="2"/>
  <c r="Y58" i="2"/>
  <c r="Y59" i="2"/>
  <c r="Y60" i="2"/>
  <c r="Y61" i="2"/>
  <c r="Y62" i="2"/>
  <c r="Y67" i="2"/>
  <c r="Y68" i="2"/>
  <c r="Y65" i="2"/>
  <c r="Y66" i="2"/>
  <c r="Y64" i="2"/>
  <c r="Y63" i="2"/>
  <c r="Y25" i="2"/>
  <c r="Y5" i="2"/>
  <c r="Y36" i="2"/>
  <c r="Y37" i="2"/>
  <c r="Y27" i="2"/>
  <c r="Y26" i="2"/>
  <c r="Y32" i="2"/>
  <c r="Y34" i="2"/>
  <c r="Y33" i="2"/>
  <c r="Y35" i="2"/>
  <c r="Y10" i="2"/>
  <c r="Y50" i="2"/>
  <c r="Y4" i="2"/>
  <c r="Y24" i="2"/>
  <c r="Y23" i="2"/>
  <c r="Y70" i="2"/>
  <c r="Y46" i="2"/>
  <c r="Y69" i="2"/>
  <c r="Y73" i="2"/>
  <c r="Y8" i="2"/>
  <c r="X55" i="1" l="1"/>
  <c r="X65" i="1"/>
  <c r="X46" i="1"/>
  <c r="X51" i="1"/>
  <c r="X28" i="1"/>
  <c r="X29" i="1"/>
  <c r="X79" i="1"/>
  <c r="X84" i="1"/>
  <c r="X54" i="1"/>
  <c r="X80" i="1"/>
  <c r="X82" i="1"/>
  <c r="X53" i="1"/>
  <c r="X57" i="1"/>
  <c r="X75" i="1"/>
  <c r="X61" i="1"/>
  <c r="X81" i="1"/>
  <c r="X10" i="1"/>
  <c r="X104" i="1"/>
  <c r="X72" i="1"/>
  <c r="X132" i="1"/>
  <c r="X129" i="1"/>
  <c r="X92" i="1"/>
  <c r="X133" i="1"/>
  <c r="X128" i="1"/>
  <c r="X139" i="1"/>
  <c r="X39" i="1"/>
  <c r="X154" i="1"/>
  <c r="X107" i="1"/>
  <c r="X124" i="1"/>
  <c r="X145" i="1"/>
  <c r="X144" i="1"/>
  <c r="X36" i="1"/>
  <c r="X35" i="1"/>
  <c r="X58" i="1"/>
  <c r="X122" i="1"/>
  <c r="X121" i="1"/>
  <c r="X32" i="1"/>
  <c r="X127" i="1"/>
  <c r="X73" i="1"/>
  <c r="X110" i="1"/>
  <c r="X131" i="1"/>
  <c r="X150" i="1"/>
  <c r="X63" i="1"/>
  <c r="X111" i="1"/>
  <c r="X112" i="1"/>
  <c r="X77" i="1"/>
  <c r="X78" i="1"/>
  <c r="X109" i="1"/>
  <c r="X24" i="1"/>
  <c r="X23" i="1"/>
  <c r="X90" i="1"/>
  <c r="X103" i="1"/>
  <c r="X62" i="1"/>
  <c r="X151" i="1"/>
  <c r="X136" i="1"/>
  <c r="X49" i="1"/>
  <c r="X30" i="1"/>
  <c r="X83" i="1"/>
  <c r="X85" i="1"/>
  <c r="X60" i="1"/>
  <c r="X142" i="1"/>
  <c r="X141" i="1"/>
  <c r="X8" i="1"/>
  <c r="X4" i="1"/>
  <c r="X126" i="1"/>
  <c r="X52" i="1"/>
  <c r="X11" i="1"/>
  <c r="X64" i="1"/>
  <c r="X74" i="1"/>
  <c r="X102" i="1"/>
  <c r="X9" i="1"/>
  <c r="X44" i="1"/>
  <c r="X97" i="1"/>
  <c r="X42" i="1"/>
  <c r="X43" i="1"/>
  <c r="X45" i="1"/>
  <c r="X71" i="1"/>
  <c r="X148" i="1"/>
  <c r="X12" i="1"/>
  <c r="X105" i="1"/>
  <c r="X91" i="1"/>
  <c r="X152" i="1"/>
  <c r="X76" i="1"/>
  <c r="X47" i="1"/>
  <c r="X48" i="1"/>
  <c r="X7" i="1"/>
  <c r="X6" i="1"/>
  <c r="X67" i="1"/>
  <c r="X137" i="1"/>
  <c r="X14" i="1"/>
  <c r="X125" i="1"/>
  <c r="X31" i="1"/>
  <c r="X199" i="1"/>
  <c r="X26" i="1"/>
  <c r="X158" i="1"/>
  <c r="X159" i="1"/>
  <c r="X70" i="1"/>
  <c r="X134" i="1"/>
  <c r="X27" i="1"/>
  <c r="X135" i="1"/>
  <c r="X160" i="1"/>
  <c r="X165" i="1"/>
  <c r="X166" i="1"/>
  <c r="X187" i="1"/>
  <c r="X120" i="1"/>
  <c r="X171" i="1"/>
  <c r="X118" i="1"/>
  <c r="X38" i="1"/>
  <c r="X89" i="1"/>
  <c r="X196" i="1"/>
  <c r="X186" i="1"/>
  <c r="X41" i="1"/>
  <c r="X194" i="1"/>
  <c r="X95" i="1"/>
  <c r="X21" i="1"/>
  <c r="X195" i="1"/>
  <c r="X198" i="1"/>
  <c r="X25" i="1"/>
  <c r="X86" i="1"/>
  <c r="X182" i="1"/>
  <c r="X190" i="1"/>
  <c r="X188" i="1"/>
  <c r="X197" i="1"/>
  <c r="X189" i="1"/>
  <c r="X101" i="1"/>
  <c r="X170" i="1"/>
  <c r="X185" i="1"/>
  <c r="X88" i="1"/>
  <c r="X50" i="1"/>
  <c r="X99" i="1"/>
  <c r="X153" i="1"/>
  <c r="X15" i="1"/>
  <c r="X100" i="1"/>
  <c r="X200" i="1"/>
  <c r="X96" i="1"/>
  <c r="X59" i="1"/>
  <c r="X69" i="1"/>
  <c r="X13" i="1"/>
  <c r="X87" i="1"/>
  <c r="X37" i="1"/>
  <c r="X20" i="1"/>
  <c r="X98" i="1"/>
  <c r="X156" i="1"/>
  <c r="X18" i="1"/>
  <c r="X167" i="1"/>
  <c r="X164" i="1"/>
  <c r="X94" i="1"/>
  <c r="X68" i="1"/>
  <c r="X143" i="1"/>
  <c r="X172" i="1"/>
  <c r="X113" i="1"/>
  <c r="X162" i="1"/>
  <c r="X175" i="1"/>
  <c r="X203" i="1"/>
  <c r="X192" i="1"/>
  <c r="X123" i="1"/>
  <c r="X40" i="1"/>
  <c r="X168" i="1"/>
  <c r="X169" i="1"/>
  <c r="X174" i="1"/>
  <c r="X19" i="1"/>
  <c r="X140" i="1"/>
  <c r="X138" i="1"/>
  <c r="X114" i="1"/>
  <c r="X115" i="1"/>
  <c r="X93" i="1"/>
  <c r="X119" i="1"/>
  <c r="X193" i="1"/>
  <c r="X157" i="1"/>
  <c r="X149" i="1"/>
  <c r="X33" i="1"/>
  <c r="X34" i="1"/>
  <c r="X180" i="1"/>
  <c r="X181" i="1"/>
  <c r="X163" i="1"/>
  <c r="X202" i="1"/>
  <c r="X178" i="1"/>
  <c r="X179" i="1"/>
  <c r="X22" i="1"/>
  <c r="X116" i="1"/>
  <c r="X117" i="1"/>
  <c r="X173" i="1"/>
  <c r="X108" i="1"/>
  <c r="X106" i="1"/>
  <c r="X130" i="1"/>
  <c r="X201" i="1"/>
  <c r="X155" i="1"/>
  <c r="X5" i="1"/>
  <c r="X56" i="1"/>
  <c r="X66" i="1"/>
  <c r="X17" i="1"/>
</calcChain>
</file>

<file path=xl/sharedStrings.xml><?xml version="1.0" encoding="utf-8"?>
<sst xmlns="http://schemas.openxmlformats.org/spreadsheetml/2006/main" count="2159" uniqueCount="1563">
  <si>
    <t>Dospělí</t>
  </si>
  <si>
    <t>Reg. č.</t>
  </si>
  <si>
    <t>Jméno</t>
  </si>
  <si>
    <t>Příjmení</t>
  </si>
  <si>
    <t>Název fota</t>
  </si>
  <si>
    <t>Body</t>
  </si>
  <si>
    <t>Děti do 15 let</t>
  </si>
  <si>
    <t>R. nar.</t>
  </si>
  <si>
    <t>Historické foto</t>
  </si>
  <si>
    <t>1. FOTO</t>
  </si>
  <si>
    <t>2. FOTO</t>
  </si>
  <si>
    <t>3. FOTO</t>
  </si>
  <si>
    <t>4. FOTO</t>
  </si>
  <si>
    <t>5. FOTO</t>
  </si>
  <si>
    <t>6. FOTO</t>
  </si>
  <si>
    <t>7. FOTO</t>
  </si>
  <si>
    <t>8. FOTO</t>
  </si>
  <si>
    <t>9. FOTO</t>
  </si>
  <si>
    <t>10. FOTO</t>
  </si>
  <si>
    <t>Celkem</t>
  </si>
  <si>
    <t>Nejvíce bodů celkově:</t>
  </si>
  <si>
    <t>Místo</t>
  </si>
  <si>
    <t>Počet bodů</t>
  </si>
  <si>
    <t>1. místo</t>
  </si>
  <si>
    <t>2. místo</t>
  </si>
  <si>
    <t>3. místo</t>
  </si>
  <si>
    <t>Fotografie s největším počtem bodů:</t>
  </si>
  <si>
    <t>Název fotografie</t>
  </si>
  <si>
    <t>Zepředu nikdo, zezadu nikdo.</t>
  </si>
  <si>
    <t>Miluše</t>
  </si>
  <si>
    <t>Ryvolová</t>
  </si>
  <si>
    <t>Slon Petr</t>
  </si>
  <si>
    <t>Výběh pro medvědy ve starém</t>
  </si>
  <si>
    <t>Romana</t>
  </si>
  <si>
    <t>Grešová</t>
  </si>
  <si>
    <t>Mravenec</t>
  </si>
  <si>
    <t>Mlsoun</t>
  </si>
  <si>
    <t>Mlsounek</t>
  </si>
  <si>
    <t>Schovávaná</t>
  </si>
  <si>
    <t>Slůně</t>
  </si>
  <si>
    <t>Richard</t>
  </si>
  <si>
    <t>Krasavec</t>
  </si>
  <si>
    <t>Orel</t>
  </si>
  <si>
    <t>Nefoť!</t>
  </si>
  <si>
    <t>Levá, pravá,…</t>
  </si>
  <si>
    <t>Martina</t>
  </si>
  <si>
    <t>Bilová</t>
  </si>
  <si>
    <t>Čápi a hra světel</t>
  </si>
  <si>
    <t>Hadilov písař</t>
  </si>
  <si>
    <t>Bez mříží…</t>
  </si>
  <si>
    <t>Barbora</t>
  </si>
  <si>
    <t>Kaloubková</t>
  </si>
  <si>
    <t>Žirafky</t>
  </si>
  <si>
    <t xml:space="preserve">Petr </t>
  </si>
  <si>
    <t>Berkovský</t>
  </si>
  <si>
    <t>Surikatí klubíčko</t>
  </si>
  <si>
    <t xml:space="preserve">Luboš </t>
  </si>
  <si>
    <t>Bednářský</t>
  </si>
  <si>
    <t>A teď odraz</t>
  </si>
  <si>
    <t>Kde mám ryby</t>
  </si>
  <si>
    <t>Jako jedno tělo</t>
  </si>
  <si>
    <t>Lidi a pod vodou?</t>
  </si>
  <si>
    <t>Ranní očista</t>
  </si>
  <si>
    <t>Nemluvíme spolu</t>
  </si>
  <si>
    <t>Zoo má asi domobranu</t>
  </si>
  <si>
    <t>Markéta</t>
  </si>
  <si>
    <t>Bednářská</t>
  </si>
  <si>
    <t>Dvojitá hlídka</t>
  </si>
  <si>
    <t>Hlavně důstojně</t>
  </si>
  <si>
    <t>Plavu rád, jen teď nenabourat</t>
  </si>
  <si>
    <t>Pozor na mě</t>
  </si>
  <si>
    <t>Přemýšlím co na zub</t>
  </si>
  <si>
    <t>Tady se vyhřívám já</t>
  </si>
  <si>
    <t>Zapózujem</t>
  </si>
  <si>
    <t>Karel</t>
  </si>
  <si>
    <t>Juda</t>
  </si>
  <si>
    <t>Moudrá</t>
  </si>
  <si>
    <t>Face to face</t>
  </si>
  <si>
    <t>Kolpík</t>
  </si>
  <si>
    <t>Lemur</t>
  </si>
  <si>
    <t>Mezi hrby</t>
  </si>
  <si>
    <t>Sita</t>
  </si>
  <si>
    <t>Slepička</t>
  </si>
  <si>
    <t>Ztracený</t>
  </si>
  <si>
    <t>Zvědavá</t>
  </si>
  <si>
    <t>Michaela</t>
  </si>
  <si>
    <t>Kazdová</t>
  </si>
  <si>
    <t xml:space="preserve">Lubor </t>
  </si>
  <si>
    <t>Pešula</t>
  </si>
  <si>
    <t>Tlapička</t>
  </si>
  <si>
    <t>Dominik</t>
  </si>
  <si>
    <t>Kožnar</t>
  </si>
  <si>
    <t>Jako originál</t>
  </si>
  <si>
    <t>Každý musí jíst</t>
  </si>
  <si>
    <t>Petra</t>
  </si>
  <si>
    <t>Kožnarová</t>
  </si>
  <si>
    <t>Já to Zoo žeru</t>
  </si>
  <si>
    <t>Sloní zátiší</t>
  </si>
  <si>
    <t>Jsem páv a kdo je víc</t>
  </si>
  <si>
    <t>Lev melancholik</t>
  </si>
  <si>
    <t>A cirkus nebude</t>
  </si>
  <si>
    <t>Pozor skočím</t>
  </si>
  <si>
    <t>Kupředu levá</t>
  </si>
  <si>
    <t>Na stráži</t>
  </si>
  <si>
    <t>Na lov</t>
  </si>
  <si>
    <t>Na obchůzce</t>
  </si>
  <si>
    <t>Petr</t>
  </si>
  <si>
    <t>Němeček</t>
  </si>
  <si>
    <t>Ty naše žirafy nám krásně rostou</t>
  </si>
  <si>
    <t>Jiří</t>
  </si>
  <si>
    <t>Votýpka</t>
  </si>
  <si>
    <t>Ekologické a ekonomické - kolektivní topení</t>
  </si>
  <si>
    <t>Mama, moje mama</t>
  </si>
  <si>
    <t>Rozjímání - před cestou do Polska</t>
  </si>
  <si>
    <t>Krytina - s celoživotní zárukou</t>
  </si>
  <si>
    <t>Taky jsem dvojnožec - navíc umím prosit a krásně se dívat</t>
  </si>
  <si>
    <t>Pod deštníky</t>
  </si>
  <si>
    <t>Jiskra v oku - oko v duchně, ostrý zobák, ostré drápy - Myšilev</t>
  </si>
  <si>
    <t xml:space="preserve">Yvona </t>
  </si>
  <si>
    <t>Votýpková</t>
  </si>
  <si>
    <t>Konečně uteču</t>
  </si>
  <si>
    <t>Kytička ke svátku - a dobrá byla</t>
  </si>
  <si>
    <t>V dešti je i máma dobrá</t>
  </si>
  <si>
    <t>Dobře vidím - tvoji svačinu</t>
  </si>
  <si>
    <t>Vždy s chutí - voda nevadí</t>
  </si>
  <si>
    <t>I čertík může být černobílý</t>
  </si>
  <si>
    <t>Velká hlava, malá hlava - hlava na hlavě</t>
  </si>
  <si>
    <t>Tomáš</t>
  </si>
  <si>
    <t>Kdo dřív</t>
  </si>
  <si>
    <t>Lucie</t>
  </si>
  <si>
    <t>Poláková</t>
  </si>
  <si>
    <t>Tereza</t>
  </si>
  <si>
    <t>Čtvery uši hroší</t>
  </si>
  <si>
    <t>Chlupatý Slávek</t>
  </si>
  <si>
    <t>Opice na stromě</t>
  </si>
  <si>
    <t>Želva a kameny</t>
  </si>
  <si>
    <t>Sloni v pohybu</t>
  </si>
  <si>
    <t>Slůně Sita</t>
  </si>
  <si>
    <t>Zubří siesta</t>
  </si>
  <si>
    <t xml:space="preserve">Věra </t>
  </si>
  <si>
    <t>Pasiarová</t>
  </si>
  <si>
    <t>Žirafa</t>
  </si>
  <si>
    <t>Safari</t>
  </si>
  <si>
    <t>Agama</t>
  </si>
  <si>
    <t>Klokan</t>
  </si>
  <si>
    <t>Zvědavec</t>
  </si>
  <si>
    <t>Přátelé</t>
  </si>
  <si>
    <t>Martin</t>
  </si>
  <si>
    <t>Kopecký</t>
  </si>
  <si>
    <t>Neposedové</t>
  </si>
  <si>
    <t>Savana</t>
  </si>
  <si>
    <t>Security</t>
  </si>
  <si>
    <t>Lenka</t>
  </si>
  <si>
    <t>Nuda</t>
  </si>
  <si>
    <t>Aquabelly</t>
  </si>
  <si>
    <t>Deštník</t>
  </si>
  <si>
    <t>Lumpík</t>
  </si>
  <si>
    <t>Rodinka</t>
  </si>
  <si>
    <t>Rozdováděná</t>
  </si>
  <si>
    <t>Schovka</t>
  </si>
  <si>
    <t>Siesta</t>
  </si>
  <si>
    <t>Úprk</t>
  </si>
  <si>
    <t>Wellness</t>
  </si>
  <si>
    <t>Dagmar</t>
  </si>
  <si>
    <t>Čechová</t>
  </si>
  <si>
    <t>Oko - do duše okno</t>
  </si>
  <si>
    <t>Tak ten byl dobrej</t>
  </si>
  <si>
    <t>Želví polibky</t>
  </si>
  <si>
    <t>Zadnici mi nefoť</t>
  </si>
  <si>
    <t>Teď zkusím šipku</t>
  </si>
  <si>
    <t>Ta větev je nějaká úzká, už se neschovám</t>
  </si>
  <si>
    <t>Já nic já muzikant</t>
  </si>
  <si>
    <t>Nekřič já slyším</t>
  </si>
  <si>
    <t>Já ti mávám, koukej</t>
  </si>
  <si>
    <t>Pěkně prosím smutně koukám</t>
  </si>
  <si>
    <t xml:space="preserve">Miroslav </t>
  </si>
  <si>
    <t xml:space="preserve">Olga </t>
  </si>
  <si>
    <t>Sloník</t>
  </si>
  <si>
    <t>Gorilka</t>
  </si>
  <si>
    <t>Žirafka</t>
  </si>
  <si>
    <t>Papoušek</t>
  </si>
  <si>
    <t>Sloni</t>
  </si>
  <si>
    <t>Gabriela</t>
  </si>
  <si>
    <t>Savage Kalinová</t>
  </si>
  <si>
    <t>50. léta</t>
  </si>
  <si>
    <t>40. léta</t>
  </si>
  <si>
    <t>Lední medvěd - výběh 1965</t>
  </si>
  <si>
    <t>Voliéra vodního ptactva 1965</t>
  </si>
  <si>
    <t>Plameňáci - výběh 1965</t>
  </si>
  <si>
    <t>Tučňáci - výběh 1965</t>
  </si>
  <si>
    <t>Pes Dineo - výběh 1965</t>
  </si>
  <si>
    <t>Výběh hrochů v pavilonu tlustokožců 1965</t>
  </si>
  <si>
    <t>Medvěd hnědý - výběh 1965</t>
  </si>
  <si>
    <t>Tarpan ve výběhu 1965</t>
  </si>
  <si>
    <t>Pavilon drobných savců 1965</t>
  </si>
  <si>
    <t>Drábková</t>
  </si>
  <si>
    <t>Drábek</t>
  </si>
  <si>
    <t>Adéla</t>
  </si>
  <si>
    <t>Kratěnová</t>
  </si>
  <si>
    <t>Kdo se směje naposled…</t>
  </si>
  <si>
    <t>Iveta</t>
  </si>
  <si>
    <t>Habrmanová</t>
  </si>
  <si>
    <t>Tak pojď, maličký</t>
  </si>
  <si>
    <t>Tak holky, pěkně zacouvat!</t>
  </si>
  <si>
    <t>Jana</t>
  </si>
  <si>
    <t>Rolečková</t>
  </si>
  <si>
    <t>Černá</t>
  </si>
  <si>
    <t>Očista</t>
  </si>
  <si>
    <t>Smysl pro detail</t>
  </si>
  <si>
    <t>L'ubica</t>
  </si>
  <si>
    <t>Kmeťová</t>
  </si>
  <si>
    <t>Korytnačka velká</t>
  </si>
  <si>
    <t>Korytnačka</t>
  </si>
  <si>
    <t>Jaroslava</t>
  </si>
  <si>
    <t>Kovářová</t>
  </si>
  <si>
    <t>foto 1</t>
  </si>
  <si>
    <t>Jonáš</t>
  </si>
  <si>
    <t>Skala</t>
  </si>
  <si>
    <t>Dej pac</t>
  </si>
  <si>
    <t>Jakub</t>
  </si>
  <si>
    <t>Novotný</t>
  </si>
  <si>
    <t>Á jdou po mě</t>
  </si>
  <si>
    <t>Jdu po Tobě!!!</t>
  </si>
  <si>
    <t>Kvák…</t>
  </si>
  <si>
    <t>Nekoukej na mě!!!</t>
  </si>
  <si>
    <t>Opalování</t>
  </si>
  <si>
    <t>Pohoda ve vaně</t>
  </si>
  <si>
    <t>Táta</t>
  </si>
  <si>
    <t>Velká rodina</t>
  </si>
  <si>
    <t>Marie</t>
  </si>
  <si>
    <t>Charvátová</t>
  </si>
  <si>
    <t>Já tě vidím</t>
  </si>
  <si>
    <t>Jsem unavená, nech mě spát</t>
  </si>
  <si>
    <t>Odpočinek</t>
  </si>
  <si>
    <t>Pojď si hrát</t>
  </si>
  <si>
    <t>Příprava na modeling</t>
  </si>
  <si>
    <t>Spící</t>
  </si>
  <si>
    <t>Tak zvaný nedokonalý kotrmelec</t>
  </si>
  <si>
    <t>Takhle dobrý</t>
  </si>
  <si>
    <t>Zíííív</t>
  </si>
  <si>
    <t>Soňa</t>
  </si>
  <si>
    <t>Horáčková</t>
  </si>
  <si>
    <t>Bongo horský na pastvě</t>
  </si>
  <si>
    <t>Úsměv želvy obrovské</t>
  </si>
  <si>
    <t>Siesta plameňáků</t>
  </si>
  <si>
    <t>Slonní cvičení</t>
  </si>
  <si>
    <t>Surikaty ve frontě</t>
  </si>
  <si>
    <t>Gorilí rozcvička</t>
  </si>
  <si>
    <t>Medvědí loučení</t>
  </si>
  <si>
    <t>Žirafí promenáda</t>
  </si>
  <si>
    <t>Lachtaní zpívánky</t>
  </si>
  <si>
    <t>Leguání slečna</t>
  </si>
  <si>
    <t>Méďa ospalec</t>
  </si>
  <si>
    <t>Suri</t>
  </si>
  <si>
    <t>Žirafí rodinka</t>
  </si>
  <si>
    <t>Matouš</t>
  </si>
  <si>
    <t>Zach</t>
  </si>
  <si>
    <t>Medvěd</t>
  </si>
  <si>
    <t>Zebry</t>
  </si>
  <si>
    <t>Slon</t>
  </si>
  <si>
    <t>Šárka</t>
  </si>
  <si>
    <t>Zachová</t>
  </si>
  <si>
    <t>Gorila</t>
  </si>
  <si>
    <t>Papušek</t>
  </si>
  <si>
    <t>Maskovanej</t>
  </si>
  <si>
    <t>Simona</t>
  </si>
  <si>
    <t>Šulcová</t>
  </si>
  <si>
    <t>Nohou pevně na zemi</t>
  </si>
  <si>
    <t>Svačina</t>
  </si>
  <si>
    <t>Pod dohledem</t>
  </si>
  <si>
    <t>Navzdory lemur zpívá</t>
  </si>
  <si>
    <t>Pandí občerstvení</t>
  </si>
  <si>
    <t>Já a pyšný?!</t>
  </si>
  <si>
    <t>S výrazem lišáka</t>
  </si>
  <si>
    <t>Odpolední siesta</t>
  </si>
  <si>
    <t>Jaroslav</t>
  </si>
  <si>
    <t>Pech</t>
  </si>
  <si>
    <t>Tanečník s vějířem</t>
  </si>
  <si>
    <t>Tygr</t>
  </si>
  <si>
    <t>Slávek</t>
  </si>
  <si>
    <t>Veronika</t>
  </si>
  <si>
    <t>Zubová</t>
  </si>
  <si>
    <t>Plaveme</t>
  </si>
  <si>
    <t>Houpačka</t>
  </si>
  <si>
    <t>Spinkáme</t>
  </si>
  <si>
    <t>Horák</t>
  </si>
  <si>
    <t>Konečně venku</t>
  </si>
  <si>
    <t>Model profesionál</t>
  </si>
  <si>
    <t>Odpočinek na větvi</t>
  </si>
  <si>
    <t>Na bidýlku</t>
  </si>
  <si>
    <t>Co na mě tak civíte</t>
  </si>
  <si>
    <t>Sousedi</t>
  </si>
  <si>
    <t>Šťastný okamžik</t>
  </si>
  <si>
    <t>Oranžové mámení</t>
  </si>
  <si>
    <t>Zátiší</t>
  </si>
  <si>
    <t>Horáková</t>
  </si>
  <si>
    <t>Hra stínů</t>
  </si>
  <si>
    <t>Mateřská láska</t>
  </si>
  <si>
    <t>Mazlíček</t>
  </si>
  <si>
    <t>Nevinnost</t>
  </si>
  <si>
    <t>Starosta</t>
  </si>
  <si>
    <t>Na start</t>
  </si>
  <si>
    <t>Snad mě nevidí</t>
  </si>
  <si>
    <t>Ve střehu</t>
  </si>
  <si>
    <t>Bulínová</t>
  </si>
  <si>
    <t>Bratrská</t>
  </si>
  <si>
    <t>Detail</t>
  </si>
  <si>
    <t>Kamarádská</t>
  </si>
  <si>
    <t>Mateřská</t>
  </si>
  <si>
    <t>Pohodová</t>
  </si>
  <si>
    <t>Procházka</t>
  </si>
  <si>
    <t>Rozvaha</t>
  </si>
  <si>
    <t>Zamyšlená</t>
  </si>
  <si>
    <t>Jitka</t>
  </si>
  <si>
    <t>Unverdorbenová</t>
  </si>
  <si>
    <t>Žirafy</t>
  </si>
  <si>
    <t>Mezi sloupy</t>
  </si>
  <si>
    <t>Na skále</t>
  </si>
  <si>
    <t>U mámy</t>
  </si>
  <si>
    <t>Simon</t>
  </si>
  <si>
    <t>Unverdorben</t>
  </si>
  <si>
    <t>Sloní zahrádka</t>
  </si>
  <si>
    <t>Děti</t>
  </si>
  <si>
    <t>Setkání</t>
  </si>
  <si>
    <t>Klára</t>
  </si>
  <si>
    <t>Severová</t>
  </si>
  <si>
    <t>Aerobic</t>
  </si>
  <si>
    <t>Dostal jsem ho</t>
  </si>
  <si>
    <t>Drbu se</t>
  </si>
  <si>
    <t>Duhovka</t>
  </si>
  <si>
    <t>Jdeme na oběd</t>
  </si>
  <si>
    <t>Malej a velkej</t>
  </si>
  <si>
    <t>Vidím Tě!!!</t>
  </si>
  <si>
    <t>Žirafí stezka</t>
  </si>
  <si>
    <t>Bernardová</t>
  </si>
  <si>
    <t>Sloní rodinka</t>
  </si>
  <si>
    <t>Pavel</t>
  </si>
  <si>
    <t>Kasík</t>
  </si>
  <si>
    <t>Nejen modrá, ale i zelená je dobrá</t>
  </si>
  <si>
    <t>Dlouhý a Bystrozraký</t>
  </si>
  <si>
    <t>Copak si dám dnes asi k večeři?</t>
  </si>
  <si>
    <t>Lada</t>
  </si>
  <si>
    <t>Jančošková</t>
  </si>
  <si>
    <t>Trénuju na olympiádu</t>
  </si>
  <si>
    <t>Karolína</t>
  </si>
  <si>
    <t>Šejnová</t>
  </si>
  <si>
    <t>Hroch</t>
  </si>
  <si>
    <t>Plameňák</t>
  </si>
  <si>
    <t>Chameleon</t>
  </si>
  <si>
    <t>Čekání na rybičku</t>
  </si>
  <si>
    <t>Pochoutka</t>
  </si>
  <si>
    <t>Pohled mangusty</t>
  </si>
  <si>
    <t>Přemýšlení</t>
  </si>
  <si>
    <t>Pohodlíčko</t>
  </si>
  <si>
    <t xml:space="preserve">Veronika </t>
  </si>
  <si>
    <t>Weinertová</t>
  </si>
  <si>
    <t>Hadilov</t>
  </si>
  <si>
    <t>Páv1</t>
  </si>
  <si>
    <t>Páv2</t>
  </si>
  <si>
    <t>Kasíková</t>
  </si>
  <si>
    <t>Nic mi neunikne</t>
  </si>
  <si>
    <t>Jsme frajeři</t>
  </si>
  <si>
    <t>Pohoda a klídek</t>
  </si>
  <si>
    <t>Ludvík</t>
  </si>
  <si>
    <t>Moje království</t>
  </si>
  <si>
    <t>Puntíky jsou moderní</t>
  </si>
  <si>
    <t>Přehlídka</t>
  </si>
  <si>
    <t>Hynek</t>
  </si>
  <si>
    <t>Dneska už mám padla</t>
  </si>
  <si>
    <t>Filmová hvězda</t>
  </si>
  <si>
    <t>Na číhané</t>
  </si>
  <si>
    <t>Nech mi tam taky něco</t>
  </si>
  <si>
    <t>Povídej, já poslouchám</t>
  </si>
  <si>
    <t>Sněžný spáč</t>
  </si>
  <si>
    <t>Soustředěný pohled</t>
  </si>
  <si>
    <t>To maso je moje</t>
  </si>
  <si>
    <t>Z očí do očí</t>
  </si>
  <si>
    <t>Macourková</t>
  </si>
  <si>
    <t>Ještě kousek a skočím po tobě, frajerko!</t>
  </si>
  <si>
    <t>Čelem vzad</t>
  </si>
  <si>
    <t>Další chod jsi ty!</t>
  </si>
  <si>
    <t>Dáš mi pusu?</t>
  </si>
  <si>
    <t>Dej si na mě pozor!</t>
  </si>
  <si>
    <t>Ham…</t>
  </si>
  <si>
    <t>Jsme vidět</t>
  </si>
  <si>
    <t>Jů, mám stejně dlouhý krk jako nohy</t>
  </si>
  <si>
    <t>Na vyhlídce</t>
  </si>
  <si>
    <t>Radomír</t>
  </si>
  <si>
    <t>Lauko</t>
  </si>
  <si>
    <t>Jako v bavlnce</t>
  </si>
  <si>
    <t>Na pařezu</t>
  </si>
  <si>
    <t>Plameňáci</t>
  </si>
  <si>
    <t xml:space="preserve">Tomáš </t>
  </si>
  <si>
    <t>Dlobík</t>
  </si>
  <si>
    <t>Supí snídaně</t>
  </si>
  <si>
    <t>Sprcha na sloní pohon</t>
  </si>
  <si>
    <t>Aranka</t>
  </si>
  <si>
    <t>Chce někdo olíznout?</t>
  </si>
  <si>
    <t>Dikobrazí jablkobraní</t>
  </si>
  <si>
    <t>Hroší koupel</t>
  </si>
  <si>
    <t>Paví krasavec</t>
  </si>
  <si>
    <t>Rovnání pírek</t>
  </si>
  <si>
    <t>Mám něco na nose?</t>
  </si>
  <si>
    <t>Štír Alík</t>
  </si>
  <si>
    <t>Marika</t>
  </si>
  <si>
    <t>Gorolová</t>
  </si>
  <si>
    <t>Já bych ráda něco dobrého . .</t>
  </si>
  <si>
    <t>Kadar</t>
  </si>
  <si>
    <t>Pěkně v řadě za sebou . . .</t>
  </si>
  <si>
    <t>Marek</t>
  </si>
  <si>
    <t>Prosíme nerušit - polední siesta</t>
  </si>
  <si>
    <t xml:space="preserve">Milan </t>
  </si>
  <si>
    <t>Petržilka</t>
  </si>
  <si>
    <t>Sedí v jamce své . . .</t>
  </si>
  <si>
    <t>Čertím se</t>
  </si>
  <si>
    <t>Překvapená</t>
  </si>
  <si>
    <t>Překvapená II</t>
  </si>
  <si>
    <t>Fabšíková</t>
  </si>
  <si>
    <t>Klokan rudý - portrét</t>
  </si>
  <si>
    <t>Andrea</t>
  </si>
  <si>
    <t>Vydra severoamerická</t>
  </si>
  <si>
    <t>Eva</t>
  </si>
  <si>
    <t>Živnůstková</t>
  </si>
  <si>
    <t>Útok z hlubin</t>
  </si>
  <si>
    <t>Karle nehltej! Lidi se dívají!</t>
  </si>
  <si>
    <t>Tečkované zátiší</t>
  </si>
  <si>
    <t>Nedám moje</t>
  </si>
  <si>
    <t>Její veličenstvo</t>
  </si>
  <si>
    <t>Chutná??? Chutná!!!</t>
  </si>
  <si>
    <t>Mňam to si dám</t>
  </si>
  <si>
    <t>Ježiši, proč na mě tak všichni civí?</t>
  </si>
  <si>
    <t>Je mi všechno jedno</t>
  </si>
  <si>
    <t>Miroslav</t>
  </si>
  <si>
    <t>Dvořák</t>
  </si>
  <si>
    <t>Cítím člověčinu</t>
  </si>
  <si>
    <t>Když se načančám</t>
  </si>
  <si>
    <t>Jeden z nejvzácnějších</t>
  </si>
  <si>
    <t>Konečně je chladněji</t>
  </si>
  <si>
    <t>Na hlídce</t>
  </si>
  <si>
    <t>Nech mi</t>
  </si>
  <si>
    <t>Relax</t>
  </si>
  <si>
    <t>Stále spolu</t>
  </si>
  <si>
    <t>Vizuální kontrola</t>
  </si>
  <si>
    <t>Po červených kuličkách vidím rudě</t>
  </si>
  <si>
    <t>Neznámý druh ptáka</t>
  </si>
  <si>
    <t>Kristýna</t>
  </si>
  <si>
    <t>Machková</t>
  </si>
  <si>
    <t>Plameňák kubánský</t>
  </si>
  <si>
    <t>Černobílá nebo bíločerná?</t>
  </si>
  <si>
    <t>Varan komodský</t>
  </si>
  <si>
    <t>Ani najíst mě nenechají!</t>
  </si>
  <si>
    <t>Máma, táta a…</t>
  </si>
  <si>
    <t>Malá čičííí</t>
  </si>
  <si>
    <t>Dej mi ten rohlík, prosím!</t>
  </si>
  <si>
    <t>V podzimním sluníčku</t>
  </si>
  <si>
    <t xml:space="preserve">Zuzana </t>
  </si>
  <si>
    <t>Kaizlová</t>
  </si>
  <si>
    <t>foto 2</t>
  </si>
  <si>
    <t>foto 3</t>
  </si>
  <si>
    <t>foto 4</t>
  </si>
  <si>
    <t>foto 5</t>
  </si>
  <si>
    <t>foto 6</t>
  </si>
  <si>
    <t>foto 7</t>
  </si>
  <si>
    <t>foto 8</t>
  </si>
  <si>
    <t>foto 9</t>
  </si>
  <si>
    <t>Kateřina</t>
  </si>
  <si>
    <t>Setničková</t>
  </si>
  <si>
    <t>Gorily - Pojď, budeme si hrát</t>
  </si>
  <si>
    <t>Kachna-plameňák</t>
  </si>
  <si>
    <t>Koupající se nutrie</t>
  </si>
  <si>
    <t>Koza</t>
  </si>
  <si>
    <t>Zvědavé telátko</t>
  </si>
  <si>
    <t>Veselková</t>
  </si>
  <si>
    <t xml:space="preserve">Jan </t>
  </si>
  <si>
    <t>Viděli jste už větší tlamu</t>
  </si>
  <si>
    <t>Orosená zelená hadice</t>
  </si>
  <si>
    <t>Makak</t>
  </si>
  <si>
    <t>Připravit ke startu</t>
  </si>
  <si>
    <t>Relax (Nuru)</t>
  </si>
  <si>
    <t>Zívnutí</t>
  </si>
  <si>
    <t>Lemuři</t>
  </si>
  <si>
    <t>Ukaž zuby</t>
  </si>
  <si>
    <t>Jako u zubaře</t>
  </si>
  <si>
    <t>Koukej, jak se dělá vodopád</t>
  </si>
  <si>
    <t>Miluju myšky</t>
  </si>
  <si>
    <t>Prý mi chybí kyselina listová</t>
  </si>
  <si>
    <t>Rozcvička</t>
  </si>
  <si>
    <t>Sváča</t>
  </si>
  <si>
    <t>Tichá domácnost</t>
  </si>
  <si>
    <t>Umíš tohle</t>
  </si>
  <si>
    <t>V bezpečí</t>
  </si>
  <si>
    <t>Stiebitzová</t>
  </si>
  <si>
    <t>Rodinná svačinka</t>
  </si>
  <si>
    <t>Panda</t>
  </si>
  <si>
    <t>Nutrie</t>
  </si>
  <si>
    <t>Kuk z Afriky</t>
  </si>
  <si>
    <t>Hroší pohoda</t>
  </si>
  <si>
    <t>Dokoupilová</t>
  </si>
  <si>
    <t>Hledám něco na zub</t>
  </si>
  <si>
    <t>Já vidím co ostatní ne</t>
  </si>
  <si>
    <t>Kuk</t>
  </si>
  <si>
    <t>Odpolední relax</t>
  </si>
  <si>
    <t>Punk is not dead</t>
  </si>
  <si>
    <t>Rodinný spánek</t>
  </si>
  <si>
    <t>To je moje</t>
  </si>
  <si>
    <t>Pan prezident</t>
  </si>
  <si>
    <t>Promyka</t>
  </si>
  <si>
    <t>Šmíd</t>
  </si>
  <si>
    <t>Pyšný tučňák</t>
  </si>
  <si>
    <t>Filosof</t>
  </si>
  <si>
    <t>Mňam</t>
  </si>
  <si>
    <t>Na rozhledně</t>
  </si>
  <si>
    <t>Najdi pět rozdílů</t>
  </si>
  <si>
    <t>Pokec na kameni</t>
  </si>
  <si>
    <t>Smíšená družstva</t>
  </si>
  <si>
    <t>Uaaa</t>
  </si>
  <si>
    <t>Lejčková</t>
  </si>
  <si>
    <t>Co se děje</t>
  </si>
  <si>
    <t>Kluci, dojděte si taky!</t>
  </si>
  <si>
    <t>Listová dieta</t>
  </si>
  <si>
    <t>Milostný trojúhelník</t>
  </si>
  <si>
    <t>Vojtěchová</t>
  </si>
  <si>
    <t>Co je, obědvám</t>
  </si>
  <si>
    <t>Čí je to závoj</t>
  </si>
  <si>
    <t>Choboti</t>
  </si>
  <si>
    <t>Kyklop</t>
  </si>
  <si>
    <t>Pan Páv</t>
  </si>
  <si>
    <t>Radši ho nebuďte…</t>
  </si>
  <si>
    <t>Spící draci</t>
  </si>
  <si>
    <t>Správná dvojka</t>
  </si>
  <si>
    <t>Vřískot</t>
  </si>
  <si>
    <t>Za zrcadlem</t>
  </si>
  <si>
    <t>Štěpničková</t>
  </si>
  <si>
    <t>Slepice</t>
  </si>
  <si>
    <t>Ještěrka</t>
  </si>
  <si>
    <t>Orel bělohlavý</t>
  </si>
  <si>
    <t>Pruhovaná kráska</t>
  </si>
  <si>
    <t>Rodina zebu</t>
  </si>
  <si>
    <t>Sup mrchožravý</t>
  </si>
  <si>
    <t>Žirafa Rotschildova</t>
  </si>
  <si>
    <t>Žirafí samec</t>
  </si>
  <si>
    <t>Šmídková</t>
  </si>
  <si>
    <t>Mistr L</t>
  </si>
  <si>
    <t>Ptačí sraz</t>
  </si>
  <si>
    <t>Hádej kdo jsem</t>
  </si>
  <si>
    <t>Kočičí zaujetí</t>
  </si>
  <si>
    <t>Kdo si hraje nezlobí</t>
  </si>
  <si>
    <t>Elegán</t>
  </si>
  <si>
    <t>Krása jednotlivce</t>
  </si>
  <si>
    <t>Portrét</t>
  </si>
  <si>
    <t>Co</t>
  </si>
  <si>
    <t>Tibor</t>
  </si>
  <si>
    <t>Kamarádi</t>
  </si>
  <si>
    <t>Lukáš</t>
  </si>
  <si>
    <t>Petráček</t>
  </si>
  <si>
    <t>Kuk na bráchu</t>
  </si>
  <si>
    <t>Hejkalová</t>
  </si>
  <si>
    <t>Dej mi taky pusu!</t>
  </si>
  <si>
    <t>Hele! Bobek!</t>
  </si>
  <si>
    <t>Bude jídlo</t>
  </si>
  <si>
    <t>Ke startu připravit…</t>
  </si>
  <si>
    <t>Nerušit! Svačím!</t>
  </si>
  <si>
    <t>Tanec ve vodě</t>
  </si>
  <si>
    <t>To je můj čtyřlístek!</t>
  </si>
  <si>
    <t>To není maminka!!</t>
  </si>
  <si>
    <t>Uctivá poklona, pane chovateli</t>
  </si>
  <si>
    <t>To je kus!</t>
  </si>
  <si>
    <t>Jan</t>
  </si>
  <si>
    <t>Koutek</t>
  </si>
  <si>
    <t>Střeh</t>
  </si>
  <si>
    <t>Manekýn</t>
  </si>
  <si>
    <t>Zaskleno</t>
  </si>
  <si>
    <t>Veverka</t>
  </si>
  <si>
    <t>Punk</t>
  </si>
  <si>
    <t>Terárium</t>
  </si>
  <si>
    <t>Mangusta</t>
  </si>
  <si>
    <t>Psouni</t>
  </si>
  <si>
    <t>Alena</t>
  </si>
  <si>
    <t>Raftlová</t>
  </si>
  <si>
    <t>Kdepak jsou ty antilopy?</t>
  </si>
  <si>
    <t>Copak asi ty sochy pozorují?</t>
  </si>
  <si>
    <t>Soví portrét</t>
  </si>
  <si>
    <t>Je nám spolu dobře</t>
  </si>
  <si>
    <t>Hroší koupel v dešti</t>
  </si>
  <si>
    <t>Hámková</t>
  </si>
  <si>
    <t>Výhled na Prahu</t>
  </si>
  <si>
    <t>Anna</t>
  </si>
  <si>
    <t>Provazochodec</t>
  </si>
  <si>
    <t>Agáta</t>
  </si>
  <si>
    <t>Hendelová</t>
  </si>
  <si>
    <t>Piknik</t>
  </si>
  <si>
    <t>David</t>
  </si>
  <si>
    <t>Jiran</t>
  </si>
  <si>
    <t>Sloní idyla</t>
  </si>
  <si>
    <t>Hrdličková</t>
  </si>
  <si>
    <t>Miminko</t>
  </si>
  <si>
    <t>Gdovin</t>
  </si>
  <si>
    <t>Pozorovatel</t>
  </si>
  <si>
    <t>Matuška</t>
  </si>
  <si>
    <t>Hroch obojživelný</t>
  </si>
  <si>
    <t>Ještěrka paví</t>
  </si>
  <si>
    <t>Lori mnohobarvý horský</t>
  </si>
  <si>
    <t>Frančeová</t>
  </si>
  <si>
    <t>Dialog</t>
  </si>
  <si>
    <t>Kijivu trénuje běh</t>
  </si>
  <si>
    <t>Uši</t>
  </si>
  <si>
    <t>Emil</t>
  </si>
  <si>
    <t>Franče</t>
  </si>
  <si>
    <t>Celý táta</t>
  </si>
  <si>
    <t>Jdeme na to</t>
  </si>
  <si>
    <t>Psoun</t>
  </si>
  <si>
    <t>Nerušit</t>
  </si>
  <si>
    <t>Zubr</t>
  </si>
  <si>
    <t>Eliška</t>
  </si>
  <si>
    <t>Ulmanová</t>
  </si>
  <si>
    <t>Údolí slonů</t>
  </si>
  <si>
    <t>Vávrová</t>
  </si>
  <si>
    <t>Antilopa</t>
  </si>
  <si>
    <t>Kdo bude první</t>
  </si>
  <si>
    <t>Meloun</t>
  </si>
  <si>
    <t>Ouřadníková</t>
  </si>
  <si>
    <t xml:space="preserve">Pauza </t>
  </si>
  <si>
    <t>U žiraf</t>
  </si>
  <si>
    <t>Denise Juliette</t>
  </si>
  <si>
    <t>Yoka</t>
  </si>
  <si>
    <t>Kalivodová</t>
  </si>
  <si>
    <t>Surikata</t>
  </si>
  <si>
    <t>Mangová</t>
  </si>
  <si>
    <t>Erik</t>
  </si>
  <si>
    <t>Asiltürk</t>
  </si>
  <si>
    <t>Mekong</t>
  </si>
  <si>
    <t>Musil</t>
  </si>
  <si>
    <t>Melicharová</t>
  </si>
  <si>
    <t>Lama</t>
  </si>
  <si>
    <t>Petržilková</t>
  </si>
  <si>
    <t>Matušková</t>
  </si>
  <si>
    <t>Urzon</t>
  </si>
  <si>
    <t>Alexandra</t>
  </si>
  <si>
    <t>Trešlová</t>
  </si>
  <si>
    <t>Želva</t>
  </si>
  <si>
    <t xml:space="preserve">Monika </t>
  </si>
  <si>
    <t>Novotná</t>
  </si>
  <si>
    <t>Hroší hádka</t>
  </si>
  <si>
    <t>Kdo má větší tlamu</t>
  </si>
  <si>
    <t>Mám hlad!</t>
  </si>
  <si>
    <t>Takhle se otevírá tlama</t>
  </si>
  <si>
    <t>Váleček si čistí zuby</t>
  </si>
  <si>
    <t>Chvátalová</t>
  </si>
  <si>
    <t>U slonů 1974</t>
  </si>
  <si>
    <t>Výprava za slony 1974</t>
  </si>
  <si>
    <t>Sloní koupel 1974</t>
  </si>
  <si>
    <t>Socha v zoo 1974</t>
  </si>
  <si>
    <t>Taťána</t>
  </si>
  <si>
    <t>Kavalová</t>
  </si>
  <si>
    <t>Dokonalé maskování</t>
  </si>
  <si>
    <t>Odcházení</t>
  </si>
  <si>
    <t>Malá, hodná…</t>
  </si>
  <si>
    <t>Vlez mi na záda</t>
  </si>
  <si>
    <t>Siesta v odpoledním slunci</t>
  </si>
  <si>
    <t>Dialog nebo duel?</t>
  </si>
  <si>
    <t>Periskop</t>
  </si>
  <si>
    <t>Plácačka</t>
  </si>
  <si>
    <t>Stanislav</t>
  </si>
  <si>
    <t>Kučera</t>
  </si>
  <si>
    <t>Ropucha síťkovaná</t>
  </si>
  <si>
    <t>Dracény</t>
  </si>
  <si>
    <t>Dracéna krokodýlovitá</t>
  </si>
  <si>
    <t>Pelikán</t>
  </si>
  <si>
    <t>Pelikán2</t>
  </si>
  <si>
    <t>Pelikán3</t>
  </si>
  <si>
    <t>Pelikán4</t>
  </si>
  <si>
    <t>Pelikán5</t>
  </si>
  <si>
    <t>Slon indický</t>
  </si>
  <si>
    <t>Sloninec</t>
  </si>
  <si>
    <t>Červenec</t>
  </si>
  <si>
    <t>Lemuří pohoda</t>
  </si>
  <si>
    <t>Tanec</t>
  </si>
  <si>
    <t>Václav</t>
  </si>
  <si>
    <t>Lála</t>
  </si>
  <si>
    <t>Mezi kapkami deště</t>
  </si>
  <si>
    <t>Na větvi</t>
  </si>
  <si>
    <t>Oko</t>
  </si>
  <si>
    <t>Páv</t>
  </si>
  <si>
    <t>Pohled</t>
  </si>
  <si>
    <t>Za sklem</t>
  </si>
  <si>
    <t>Žáková</t>
  </si>
  <si>
    <t>Čas krmení</t>
  </si>
  <si>
    <t>Pohoda</t>
  </si>
  <si>
    <t>Pohodář</t>
  </si>
  <si>
    <t>Nevěsta</t>
  </si>
  <si>
    <t>Čekání</t>
  </si>
  <si>
    <t>Časo oběda</t>
  </si>
  <si>
    <t>Hravá opička</t>
  </si>
  <si>
    <t>Nekoukejte</t>
  </si>
  <si>
    <t>Zasnění</t>
  </si>
  <si>
    <t>Lezu!</t>
  </si>
  <si>
    <t>Krista</t>
  </si>
  <si>
    <t>Soukupová</t>
  </si>
  <si>
    <t>Myška</t>
  </si>
  <si>
    <t>Úsměv, prosím</t>
  </si>
  <si>
    <t>Alice</t>
  </si>
  <si>
    <t>Ďurechová</t>
  </si>
  <si>
    <t>Číhám</t>
  </si>
  <si>
    <t>Já jsem nádherný</t>
  </si>
  <si>
    <t>Pohled do dáli</t>
  </si>
  <si>
    <t>Únava</t>
  </si>
  <si>
    <t>Jako socha</t>
  </si>
  <si>
    <t>Společníci</t>
  </si>
  <si>
    <t>Tady se asi neschovám</t>
  </si>
  <si>
    <t>To je dobrota</t>
  </si>
  <si>
    <t>Ve skoku</t>
  </si>
  <si>
    <t>Ďurechová ml.</t>
  </si>
  <si>
    <t>Abraka Čabraka</t>
  </si>
  <si>
    <t>Co koukáš</t>
  </si>
  <si>
    <t>Kráska</t>
  </si>
  <si>
    <t>Lovec</t>
  </si>
  <si>
    <t>Malá zvědavka</t>
  </si>
  <si>
    <t>Mám tě rád</t>
  </si>
  <si>
    <t>My dva a čas</t>
  </si>
  <si>
    <t>Vidím tě</t>
  </si>
  <si>
    <t>Už běžím</t>
  </si>
  <si>
    <t>Boukalová</t>
  </si>
  <si>
    <t>Kouzlo podzimu</t>
  </si>
  <si>
    <t>Harmonie barev</t>
  </si>
  <si>
    <t>Mému zraku neunikneš</t>
  </si>
  <si>
    <t>Zamyšlení</t>
  </si>
  <si>
    <t>Jistě, že tě poslouchám</t>
  </si>
  <si>
    <t>Polár v tropech</t>
  </si>
  <si>
    <t>Probuzení</t>
  </si>
  <si>
    <t>Žirafy při jídle</t>
  </si>
  <si>
    <t>Tři žirafy</t>
  </si>
  <si>
    <t>Člunozobec</t>
  </si>
  <si>
    <t>Sitatungy</t>
  </si>
  <si>
    <t>Klokan rudý</t>
  </si>
  <si>
    <t>Sloni při běhu</t>
  </si>
  <si>
    <t>Bezděková</t>
  </si>
  <si>
    <t>Bizoni</t>
  </si>
  <si>
    <t>Na koníka!</t>
  </si>
  <si>
    <t>Sloní hřbet</t>
  </si>
  <si>
    <t>U medvěda</t>
  </si>
  <si>
    <t>S pařezem</t>
  </si>
  <si>
    <t>Dvojka</t>
  </si>
  <si>
    <t>U vody</t>
  </si>
  <si>
    <t>Krmení</t>
  </si>
  <si>
    <t>Mladé žirafy</t>
  </si>
  <si>
    <t>Klídek</t>
  </si>
  <si>
    <t>Opice</t>
  </si>
  <si>
    <t>Vříská</t>
  </si>
  <si>
    <t>Rodinka pohromadě</t>
  </si>
  <si>
    <t>Pozor na mě!</t>
  </si>
  <si>
    <t>Pestrá svačinka</t>
  </si>
  <si>
    <t>Nech mě, hraju na píšťalu</t>
  </si>
  <si>
    <t>Jen trochu nasaju</t>
  </si>
  <si>
    <t>Sandro</t>
  </si>
  <si>
    <t>Riedmann</t>
  </si>
  <si>
    <t>Žirafy a jazyk</t>
  </si>
  <si>
    <t>Krásná vzácnost</t>
  </si>
  <si>
    <t>Modelka</t>
  </si>
  <si>
    <t>Dnes žádné fotky, prosím.</t>
  </si>
  <si>
    <t>King of Bongo</t>
  </si>
  <si>
    <t>Sita si hraje</t>
  </si>
  <si>
    <t>Slon a voda</t>
  </si>
  <si>
    <t>Wapiti se fotí</t>
  </si>
  <si>
    <t>Kladivouš</t>
  </si>
  <si>
    <t>Už zase pondělí</t>
  </si>
  <si>
    <t>Edita</t>
  </si>
  <si>
    <t>Čančíková</t>
  </si>
  <si>
    <t>Herečka</t>
  </si>
  <si>
    <t>Hmmm</t>
  </si>
  <si>
    <t>Na vrcholu</t>
  </si>
  <si>
    <t>Pac a pusu</t>
  </si>
  <si>
    <t>Úleva</t>
  </si>
  <si>
    <t>Zamyšlený</t>
  </si>
  <si>
    <t>Žvejk</t>
  </si>
  <si>
    <t>Hájková</t>
  </si>
  <si>
    <t>Bizon</t>
  </si>
  <si>
    <t>Kozoroh kavkazský</t>
  </si>
  <si>
    <t>Adam</t>
  </si>
  <si>
    <t>Plíhal</t>
  </si>
  <si>
    <t>Válečkův úsměv</t>
  </si>
  <si>
    <t>Taky už mám zuby</t>
  </si>
  <si>
    <t>Tady hlídám já</t>
  </si>
  <si>
    <t>Kristina</t>
  </si>
  <si>
    <t>Šolarová</t>
  </si>
  <si>
    <t>Pod lampou</t>
  </si>
  <si>
    <t>Rodinná siesta</t>
  </si>
  <si>
    <t>Souboj</t>
  </si>
  <si>
    <t>Tlapka</t>
  </si>
  <si>
    <t>Chameleon jemenský</t>
  </si>
  <si>
    <t>Pes ušatý</t>
  </si>
  <si>
    <t>Pes ušatý 2</t>
  </si>
  <si>
    <t>Krajta zelená</t>
  </si>
  <si>
    <t>Bedřich</t>
  </si>
  <si>
    <t>Babičkovské objetí</t>
  </si>
  <si>
    <t>Bubliny, to je moje!</t>
  </si>
  <si>
    <t>Kuk!</t>
  </si>
  <si>
    <t>Tady jsem pánem já</t>
  </si>
  <si>
    <t>To je vedro</t>
  </si>
  <si>
    <t>Zamyšlený Richard</t>
  </si>
  <si>
    <t>Portrét v interiéru</t>
  </si>
  <si>
    <t>S parádou?!</t>
  </si>
  <si>
    <t>Slunce, voda … vydra.</t>
  </si>
  <si>
    <t>Horvátová</t>
  </si>
  <si>
    <t>Spěchej, nezbyde</t>
  </si>
  <si>
    <t>Zoul</t>
  </si>
  <si>
    <t>Tady bydlím já</t>
  </si>
  <si>
    <t>Tomášková</t>
  </si>
  <si>
    <t>Vyhřívání na sluníčku</t>
  </si>
  <si>
    <t>Zapomněli na mě</t>
  </si>
  <si>
    <t>Victor</t>
  </si>
  <si>
    <t>Saveljev</t>
  </si>
  <si>
    <t>Nerušit, odpočívám</t>
  </si>
  <si>
    <t>Netrucuj</t>
  </si>
  <si>
    <t>Ilja</t>
  </si>
  <si>
    <t>Novoselov</t>
  </si>
  <si>
    <t>Já si tě najdu</t>
  </si>
  <si>
    <t>Je to dobré i zezadu</t>
  </si>
  <si>
    <t>Matyáš</t>
  </si>
  <si>
    <t>Jirák</t>
  </si>
  <si>
    <t>Hraju si sám</t>
  </si>
  <si>
    <t>Odcházím</t>
  </si>
  <si>
    <t>Hladík</t>
  </si>
  <si>
    <t>Nechte mne</t>
  </si>
  <si>
    <t>Antonio</t>
  </si>
  <si>
    <t>Gavrilek</t>
  </si>
  <si>
    <t>Polední siesta</t>
  </si>
  <si>
    <t>Ve dvou to jde líp</t>
  </si>
  <si>
    <t>Kevin</t>
  </si>
  <si>
    <t>Eremiáš</t>
  </si>
  <si>
    <t>To je koupáníčko</t>
  </si>
  <si>
    <t>Zbyde na mě</t>
  </si>
  <si>
    <t>Červenková</t>
  </si>
  <si>
    <t>Dopolední svačinka</t>
  </si>
  <si>
    <t>Já tady nebudu</t>
  </si>
  <si>
    <t>Bejvl</t>
  </si>
  <si>
    <t>Kdo vyhrává</t>
  </si>
  <si>
    <t>Krmení dravé zvěře</t>
  </si>
  <si>
    <t>Kulichová</t>
  </si>
  <si>
    <t>Neodcházej</t>
  </si>
  <si>
    <t>Markéta Sára</t>
  </si>
  <si>
    <t>Pokorná</t>
  </si>
  <si>
    <t>Jdu si zaplavat</t>
  </si>
  <si>
    <t>Brůnová</t>
  </si>
  <si>
    <t>Přemýšlím</t>
  </si>
  <si>
    <t>Baumruková</t>
  </si>
  <si>
    <t>Ptačí král</t>
  </si>
  <si>
    <t>Ostražitý</t>
  </si>
  <si>
    <t>Kdo půjde za mnou</t>
  </si>
  <si>
    <t>Fotka na OP</t>
  </si>
  <si>
    <t>Nejlepší u maminky</t>
  </si>
  <si>
    <t>Jarmila</t>
  </si>
  <si>
    <t>Jdeme do zoo 1959</t>
  </si>
  <si>
    <t>Méďa 1959</t>
  </si>
  <si>
    <t>Opičky 1959</t>
  </si>
  <si>
    <t>Žirafa 1959</t>
  </si>
  <si>
    <t>Zdeněk</t>
  </si>
  <si>
    <t>Choura</t>
  </si>
  <si>
    <t>Hrabáčův odpočinek</t>
  </si>
  <si>
    <t>Tučňák</t>
  </si>
  <si>
    <t>Makak nebo člověk?</t>
  </si>
  <si>
    <t>Nandu ve střehu</t>
  </si>
  <si>
    <t>Lední medvěd</t>
  </si>
  <si>
    <t>Malý pankáč</t>
  </si>
  <si>
    <t>Rodinná idylka</t>
  </si>
  <si>
    <t>Tady hlídám já!</t>
  </si>
  <si>
    <t>Už mě nezlob!</t>
  </si>
  <si>
    <t xml:space="preserve">Kateřina </t>
  </si>
  <si>
    <t>Krahulíková</t>
  </si>
  <si>
    <t>Barvy přírody</t>
  </si>
  <si>
    <t>Gepard</t>
  </si>
  <si>
    <t>Gepardí cesta</t>
  </si>
  <si>
    <t>Hraní lachtanů</t>
  </si>
  <si>
    <t>Kozorožci</t>
  </si>
  <si>
    <t>Medvědi</t>
  </si>
  <si>
    <t>Zívající medvěd</t>
  </si>
  <si>
    <t xml:space="preserve">Michaela </t>
  </si>
  <si>
    <t>Kapková</t>
  </si>
  <si>
    <t>Soukup</t>
  </si>
  <si>
    <t>Kozlík</t>
  </si>
  <si>
    <t>Lagrünová</t>
  </si>
  <si>
    <t>Opička</t>
  </si>
  <si>
    <t>Radek</t>
  </si>
  <si>
    <t>Kolář</t>
  </si>
  <si>
    <t>Jaguár</t>
  </si>
  <si>
    <t>Denisa</t>
  </si>
  <si>
    <t>Machová</t>
  </si>
  <si>
    <t>Gorilátko</t>
  </si>
  <si>
    <t>Ilona</t>
  </si>
  <si>
    <t>Kafková</t>
  </si>
  <si>
    <t>Filip</t>
  </si>
  <si>
    <t>Čech</t>
  </si>
  <si>
    <t>Ladislav</t>
  </si>
  <si>
    <t>Zelenka</t>
  </si>
  <si>
    <t>Slon asijský</t>
  </si>
  <si>
    <t>Zebry a antilopa</t>
  </si>
  <si>
    <t>Kozoroh kavkazský 2</t>
  </si>
  <si>
    <t>Bizon americký</t>
  </si>
  <si>
    <t>Havlová</t>
  </si>
  <si>
    <t>Havel</t>
  </si>
  <si>
    <t>Sloni u vody</t>
  </si>
  <si>
    <t>Volavčík</t>
  </si>
  <si>
    <t>Zoborožec</t>
  </si>
  <si>
    <t>Pisila</t>
  </si>
  <si>
    <t>Klokan rudý 2</t>
  </si>
  <si>
    <t>Portrét pisily</t>
  </si>
  <si>
    <t>Hlinovská</t>
  </si>
  <si>
    <t>Barvy</t>
  </si>
  <si>
    <t>Hlad</t>
  </si>
  <si>
    <t>Královská póza</t>
  </si>
  <si>
    <t>Na koho koukáš</t>
  </si>
  <si>
    <t>Pohoda ve vodě</t>
  </si>
  <si>
    <t>Smutný</t>
  </si>
  <si>
    <t>Svačinka</t>
  </si>
  <si>
    <t>Štěstí</t>
  </si>
  <si>
    <t>Lemurek</t>
  </si>
  <si>
    <t>Daniela</t>
  </si>
  <si>
    <t>Löffelmann</t>
  </si>
  <si>
    <t>Michal</t>
  </si>
  <si>
    <t>Bohatý</t>
  </si>
  <si>
    <t>Myšička</t>
  </si>
  <si>
    <t>Chameleon hezčí</t>
  </si>
  <si>
    <t>Kachna nejhezčí</t>
  </si>
  <si>
    <t>Kachna hezčí</t>
  </si>
  <si>
    <t>Kachna</t>
  </si>
  <si>
    <t>Kachnička</t>
  </si>
  <si>
    <t>Kolpík s listem hezčí</t>
  </si>
  <si>
    <t>Kolpík s listem</t>
  </si>
  <si>
    <t>Hadilov císař</t>
  </si>
  <si>
    <t>Vladimír</t>
  </si>
  <si>
    <t>Čermohlávek</t>
  </si>
  <si>
    <t>Ha ha ha</t>
  </si>
  <si>
    <t>Honem pryč</t>
  </si>
  <si>
    <t>Já sám</t>
  </si>
  <si>
    <t>Jen koukám</t>
  </si>
  <si>
    <t>Když dva dělají totéž</t>
  </si>
  <si>
    <t>Nesu náklad</t>
  </si>
  <si>
    <t>Pohoda na sluníčku</t>
  </si>
  <si>
    <t>Svačím</t>
  </si>
  <si>
    <t>Svačinka ve dvou</t>
  </si>
  <si>
    <t>Krlín</t>
  </si>
  <si>
    <t>V zoo mi chutná</t>
  </si>
  <si>
    <t>Chalupová</t>
  </si>
  <si>
    <t>Kutil</t>
  </si>
  <si>
    <t>Mezi všemi</t>
  </si>
  <si>
    <t>Na slunci</t>
  </si>
  <si>
    <t>Sloní láska</t>
  </si>
  <si>
    <t>Spánek</t>
  </si>
  <si>
    <t>U surikat</t>
  </si>
  <si>
    <t>Zblízka</t>
  </si>
  <si>
    <t>Šmídová</t>
  </si>
  <si>
    <t>Hroší bitva</t>
  </si>
  <si>
    <t>Papouščí oběd</t>
  </si>
  <si>
    <t>Váleček</t>
  </si>
  <si>
    <t xml:space="preserve">Filip </t>
  </si>
  <si>
    <t>Malý</t>
  </si>
  <si>
    <t>Fotograf a kočka</t>
  </si>
  <si>
    <t>Koukej tamhle</t>
  </si>
  <si>
    <t>Veget</t>
  </si>
  <si>
    <t>Velká kočka</t>
  </si>
  <si>
    <t>Zvědavost</t>
  </si>
  <si>
    <t>Nedám</t>
  </si>
  <si>
    <t>Borovičková</t>
  </si>
  <si>
    <t>Veselá žába</t>
  </si>
  <si>
    <t>Ludmila</t>
  </si>
  <si>
    <t>Lajsalová</t>
  </si>
  <si>
    <t>Gepardova druhá tvář</t>
  </si>
  <si>
    <t>Moudré hroší očko</t>
  </si>
  <si>
    <t>Hejbalová</t>
  </si>
  <si>
    <t>Kdo se zaběhl</t>
  </si>
  <si>
    <t>Tak to vidíme my</t>
  </si>
  <si>
    <t>Touha po překvapení</t>
  </si>
  <si>
    <t>Všechny barvy zoo</t>
  </si>
  <si>
    <t>Zamyšlená romantika</t>
  </si>
  <si>
    <t>Pták</t>
  </si>
  <si>
    <t>Nerušit, odpočíváme</t>
  </si>
  <si>
    <t>Mňam mňam</t>
  </si>
  <si>
    <t>Mazlík</t>
  </si>
  <si>
    <t>Mawar vypráví pohádku</t>
  </si>
  <si>
    <t>Máme se rádi</t>
  </si>
  <si>
    <t>Dobrou chuť, mamčo</t>
  </si>
  <si>
    <t>Co takhle najíst se</t>
  </si>
  <si>
    <t>Sita na denním průzkumu</t>
  </si>
  <si>
    <t>Daniel</t>
  </si>
  <si>
    <t>Kverka</t>
  </si>
  <si>
    <t>Odpočinek v zoo</t>
  </si>
  <si>
    <t>Bartůňková</t>
  </si>
  <si>
    <t>Cože, jsem to já nebo brácha</t>
  </si>
  <si>
    <t>Člunozobec africký</t>
  </si>
  <si>
    <t>Dobrou noc!</t>
  </si>
  <si>
    <t>Chci ven!</t>
  </si>
  <si>
    <t>Néé, nefoťte mě!</t>
  </si>
  <si>
    <t>Nové sloní bydlení</t>
  </si>
  <si>
    <t>Na procházce</t>
  </si>
  <si>
    <t>Blecháč</t>
  </si>
  <si>
    <t>Poškej, až Tě chytím!</t>
  </si>
  <si>
    <t>Růžová pýcha</t>
  </si>
  <si>
    <t>To to svědí</t>
  </si>
  <si>
    <t>Z toho listí mi už jde huba šejdrem</t>
  </si>
  <si>
    <t>Akrobatka</t>
  </si>
  <si>
    <t>Osově souměrní</t>
  </si>
  <si>
    <t>Boris</t>
  </si>
  <si>
    <t>Bočev</t>
  </si>
  <si>
    <t>Dětská zoo</t>
  </si>
  <si>
    <t>Barbara</t>
  </si>
  <si>
    <t>Herza</t>
  </si>
  <si>
    <t>Barvy plameňáků</t>
  </si>
  <si>
    <t>Spolu</t>
  </si>
  <si>
    <t>Tatínkova tlamička</t>
  </si>
  <si>
    <t>Fenek</t>
  </si>
  <si>
    <t>Lori mnohobarevný horský</t>
  </si>
  <si>
    <t>Psoun prériový</t>
  </si>
  <si>
    <t>Sitatunga</t>
  </si>
  <si>
    <t>Seriema rudozobá</t>
  </si>
  <si>
    <t>René</t>
  </si>
  <si>
    <t>Šulc</t>
  </si>
  <si>
    <t>Ze života hmyzu 1</t>
  </si>
  <si>
    <t>Ze života hmyzu 2</t>
  </si>
  <si>
    <t>Hruška</t>
  </si>
  <si>
    <t>Black and white</t>
  </si>
  <si>
    <t>Cute</t>
  </si>
  <si>
    <t>Mrkvička</t>
  </si>
  <si>
    <t>Odpolední vycházka</t>
  </si>
  <si>
    <t>Slon v akci</t>
  </si>
  <si>
    <t>Slůně v obětí</t>
  </si>
  <si>
    <t>Zrcadlo</t>
  </si>
  <si>
    <t>Táááááákhle velkou mám tlamu</t>
  </si>
  <si>
    <t>Meloun je fešák</t>
  </si>
  <si>
    <t>Lahůdková mísa</t>
  </si>
  <si>
    <t>Kukuč</t>
  </si>
  <si>
    <t>Kontrola chrupu</t>
  </si>
  <si>
    <t>Kde jsi tak dlouho</t>
  </si>
  <si>
    <t>Hlavně nenápadně</t>
  </si>
  <si>
    <t>Sleduju vás</t>
  </si>
  <si>
    <t>Koníř</t>
  </si>
  <si>
    <t>Melancholik</t>
  </si>
  <si>
    <t>Na pozoru</t>
  </si>
  <si>
    <t>Ledňák</t>
  </si>
  <si>
    <t>Člunozubec</t>
  </si>
  <si>
    <t>Nesahejte mi na jídlo</t>
  </si>
  <si>
    <t>Elena</t>
  </si>
  <si>
    <t>Bočevova</t>
  </si>
  <si>
    <t>Tajné myšlenky</t>
  </si>
  <si>
    <t xml:space="preserve">Daniel </t>
  </si>
  <si>
    <t>Hrušková</t>
  </si>
  <si>
    <t>Tak, zlato</t>
  </si>
  <si>
    <t>Jungwirthová</t>
  </si>
  <si>
    <t>Šimon</t>
  </si>
  <si>
    <t>Březík</t>
  </si>
  <si>
    <t>Chovanec</t>
  </si>
  <si>
    <t>Smrčenská</t>
  </si>
  <si>
    <t>Čekám</t>
  </si>
  <si>
    <t>Chodím sem tam a zpět</t>
  </si>
  <si>
    <t>Chvátám</t>
  </si>
  <si>
    <t>Plavu si ani nevím jak</t>
  </si>
  <si>
    <t>Pohodička u vody</t>
  </si>
  <si>
    <t>Svačíme</t>
  </si>
  <si>
    <t>Ta žízeň</t>
  </si>
  <si>
    <t>Kritznerová</t>
  </si>
  <si>
    <t>Holky v akci</t>
  </si>
  <si>
    <t>Sudík</t>
  </si>
  <si>
    <t>Držka</t>
  </si>
  <si>
    <t>Hejno</t>
  </si>
  <si>
    <t>Kočička</t>
  </si>
  <si>
    <t>Lenoši</t>
  </si>
  <si>
    <t>Levice</t>
  </si>
  <si>
    <t>Ještěr</t>
  </si>
  <si>
    <t>Irena</t>
  </si>
  <si>
    <t>Černovská</t>
  </si>
  <si>
    <t>foto 10</t>
  </si>
  <si>
    <t>Pařízková</t>
  </si>
  <si>
    <t>Pujmanová</t>
  </si>
  <si>
    <t>Lvice</t>
  </si>
  <si>
    <t>Mládě</t>
  </si>
  <si>
    <t>Oči</t>
  </si>
  <si>
    <t>Šelma</t>
  </si>
  <si>
    <t>V trávě</t>
  </si>
  <si>
    <t>Žízeň</t>
  </si>
  <si>
    <t>Mám tě ráda</t>
  </si>
  <si>
    <t>Klaschková</t>
  </si>
  <si>
    <t>Orangutaní rodina</t>
  </si>
  <si>
    <t>Kratochvíl</t>
  </si>
  <si>
    <t>Pavlíková</t>
  </si>
  <si>
    <t>Nikola</t>
  </si>
  <si>
    <t>Malátová</t>
  </si>
  <si>
    <t xml:space="preserve">Jaroslava </t>
  </si>
  <si>
    <t>Čekan</t>
  </si>
  <si>
    <t>Palmová</t>
  </si>
  <si>
    <t>Škaláková</t>
  </si>
  <si>
    <t>Aneta</t>
  </si>
  <si>
    <t>Hana</t>
  </si>
  <si>
    <t>Podroužková</t>
  </si>
  <si>
    <t>Najdi mě</t>
  </si>
  <si>
    <t>Láska žirafí</t>
  </si>
  <si>
    <t>Podzimní lázeň</t>
  </si>
  <si>
    <t>Dobeš</t>
  </si>
  <si>
    <t>Bohatá</t>
  </si>
  <si>
    <t>Šedá hrozba</t>
  </si>
  <si>
    <t>Večerní hygiena</t>
  </si>
  <si>
    <t>Koupel</t>
  </si>
  <si>
    <t>Vydra</t>
  </si>
  <si>
    <t>Zadky</t>
  </si>
  <si>
    <t>Mikysková</t>
  </si>
  <si>
    <t>Libuše</t>
  </si>
  <si>
    <t>V podvečerním slunci</t>
  </si>
  <si>
    <t>Odraz</t>
  </si>
  <si>
    <t>Vlez mi na záda II</t>
  </si>
  <si>
    <t xml:space="preserve">Petra </t>
  </si>
  <si>
    <t>Mangusta2</t>
  </si>
  <si>
    <t>Mangusta3</t>
  </si>
  <si>
    <t>Šplhoun</t>
  </si>
  <si>
    <t>Šplhoun2</t>
  </si>
  <si>
    <t>Králík</t>
  </si>
  <si>
    <t>Srnka</t>
  </si>
  <si>
    <t>Hroši</t>
  </si>
  <si>
    <t>Ptáček</t>
  </si>
  <si>
    <t>Hyena</t>
  </si>
  <si>
    <t>Křídla</t>
  </si>
  <si>
    <t>Mr. Bean</t>
  </si>
  <si>
    <t>Na hanbě</t>
  </si>
  <si>
    <t>Pštros</t>
  </si>
  <si>
    <t>Rumburak</t>
  </si>
  <si>
    <t>Dívej se mi do očí</t>
  </si>
  <si>
    <t>Jelínková</t>
  </si>
  <si>
    <t>Oko geparda</t>
  </si>
  <si>
    <t>Nuru</t>
  </si>
  <si>
    <t>Skupina surikat</t>
  </si>
  <si>
    <t>Levhart</t>
  </si>
  <si>
    <t>Hroší rodinka</t>
  </si>
  <si>
    <t>Lešnerová</t>
  </si>
  <si>
    <t>Dvojzoborožec hnědavý</t>
  </si>
  <si>
    <t>Gorila nížinná</t>
  </si>
  <si>
    <t>Kasuár přilbový</t>
  </si>
  <si>
    <t>Marabu africký</t>
  </si>
  <si>
    <t>Zoborožec bělovlasatý</t>
  </si>
  <si>
    <t>Kolpík růžový</t>
  </si>
  <si>
    <t>Makak vepří</t>
  </si>
  <si>
    <t>Kverková</t>
  </si>
  <si>
    <t>Alou domů</t>
  </si>
  <si>
    <t>Daneel</t>
  </si>
  <si>
    <t>Gröschl</t>
  </si>
  <si>
    <t>Smutná</t>
  </si>
  <si>
    <t>Pusinka</t>
  </si>
  <si>
    <t>Zvědavý</t>
  </si>
  <si>
    <t>Černobílá</t>
  </si>
  <si>
    <t>Výstavní exponát</t>
  </si>
  <si>
    <t>Filozof</t>
  </si>
  <si>
    <t>Být, či nebýt</t>
  </si>
  <si>
    <t>Malý fotograf</t>
  </si>
  <si>
    <t>Uhrančivý pohled lovce</t>
  </si>
  <si>
    <t>Škola hrou</t>
  </si>
  <si>
    <t>S rozvahou</t>
  </si>
  <si>
    <t>Sleduji vás</t>
  </si>
  <si>
    <t>Děli je jen tenké sklo</t>
  </si>
  <si>
    <t>Svačinááá</t>
  </si>
  <si>
    <t>Matka s dítětem</t>
  </si>
  <si>
    <t>Rodinka v zoo 1962</t>
  </si>
  <si>
    <t>Havlínová</t>
  </si>
  <si>
    <t>Gorilky</t>
  </si>
  <si>
    <t>Kozenky</t>
  </si>
  <si>
    <t>Ruce</t>
  </si>
  <si>
    <t>V objetí</t>
  </si>
  <si>
    <t>Pod vodou</t>
  </si>
  <si>
    <t>Tlapa</t>
  </si>
  <si>
    <t>Mama</t>
  </si>
  <si>
    <t>Bílá tlapa</t>
  </si>
  <si>
    <t>Teď uteču</t>
  </si>
  <si>
    <t>U plameňáků</t>
  </si>
  <si>
    <t>Odpočíváme</t>
  </si>
  <si>
    <t>Kuk sem, kuk tam</t>
  </si>
  <si>
    <t>Slůňátko</t>
  </si>
  <si>
    <t>Žaludová</t>
  </si>
  <si>
    <t>Hroší pohled</t>
  </si>
  <si>
    <t>Pyšná žirafa</t>
  </si>
  <si>
    <t>Zasněný hroch</t>
  </si>
  <si>
    <t>Zlatovláska</t>
  </si>
  <si>
    <t>Žirafa pražská</t>
  </si>
  <si>
    <t>Hojerová</t>
  </si>
  <si>
    <t>Kovalská</t>
  </si>
  <si>
    <t>To je úplně jedno</t>
  </si>
  <si>
    <t>Josef</t>
  </si>
  <si>
    <t>Havlín</t>
  </si>
  <si>
    <t>Zuzana</t>
  </si>
  <si>
    <t>Bernáthová</t>
  </si>
  <si>
    <t>Potápěč</t>
  </si>
  <si>
    <t>Štefan</t>
  </si>
  <si>
    <t>Bernáth</t>
  </si>
  <si>
    <t>Kiang</t>
  </si>
  <si>
    <t>Sovice</t>
  </si>
  <si>
    <t>Nebezpečí nehrozí</t>
  </si>
  <si>
    <t>Sloní samec</t>
  </si>
  <si>
    <t>Bez ledu</t>
  </si>
  <si>
    <t>Cihelková</t>
  </si>
  <si>
    <t>Africká savana - výběhy</t>
  </si>
  <si>
    <t>Plameňáci2</t>
  </si>
  <si>
    <t>Supi</t>
  </si>
  <si>
    <t>Tučňáci</t>
  </si>
  <si>
    <t>Tučňáci2</t>
  </si>
  <si>
    <t>Velbloudi</t>
  </si>
  <si>
    <t>Americký úsměv</t>
  </si>
  <si>
    <t>Aaaa</t>
  </si>
  <si>
    <t>Bláža</t>
  </si>
  <si>
    <t>Chřtán I</t>
  </si>
  <si>
    <t>Chřtán II</t>
  </si>
  <si>
    <t>Jde se!</t>
  </si>
  <si>
    <t>Mateřské povinnosti</t>
  </si>
  <si>
    <t>Schovaný</t>
  </si>
  <si>
    <t>Velká žranice</t>
  </si>
  <si>
    <t>Zvědavost s noblesou</t>
  </si>
  <si>
    <t>Zvědavý kukuč</t>
  </si>
  <si>
    <t>Dobrůtka</t>
  </si>
  <si>
    <t>Frajer</t>
  </si>
  <si>
    <t>Hají</t>
  </si>
  <si>
    <t>Krmení kačenek</t>
  </si>
  <si>
    <t>Křídla a zrcadlo</t>
  </si>
  <si>
    <t>Sokolt</t>
  </si>
  <si>
    <t>Šlechtic</t>
  </si>
  <si>
    <t>Pyžamo</t>
  </si>
  <si>
    <t>Sokoltová</t>
  </si>
  <si>
    <t>Bublina</t>
  </si>
  <si>
    <t>Hledej slůně</t>
  </si>
  <si>
    <t>Pošeptám ti do ouška</t>
  </si>
  <si>
    <t>Lochneska</t>
  </si>
  <si>
    <t>Lachtaní bubliny</t>
  </si>
  <si>
    <t>Zrcadlo, pověz…</t>
  </si>
  <si>
    <t>Otevřete!</t>
  </si>
  <si>
    <t>Límec</t>
  </si>
  <si>
    <t>Zoubky</t>
  </si>
  <si>
    <t>Cestička</t>
  </si>
  <si>
    <t>Verner</t>
  </si>
  <si>
    <t>Holub modroocasý</t>
  </si>
  <si>
    <t>Ibis</t>
  </si>
  <si>
    <t>Dvojzoborožec</t>
  </si>
  <si>
    <t>Kasuár</t>
  </si>
  <si>
    <t>Lori</t>
  </si>
  <si>
    <t>Pes pralesní</t>
  </si>
  <si>
    <t>Zoborožec bělovlasý</t>
  </si>
  <si>
    <t>Barčák</t>
  </si>
  <si>
    <t>Máma</t>
  </si>
  <si>
    <t>Ham</t>
  </si>
  <si>
    <t>Pohodička</t>
  </si>
  <si>
    <t>Fénixka</t>
  </si>
  <si>
    <t>Gepard siesta</t>
  </si>
  <si>
    <t>Hrabáč</t>
  </si>
  <si>
    <t>Gorilí hrátky</t>
  </si>
  <si>
    <t>Medojed hygiena</t>
  </si>
  <si>
    <t>Kozorožec</t>
  </si>
  <si>
    <t>Člunozobec profil</t>
  </si>
  <si>
    <t>Hrabáč2</t>
  </si>
  <si>
    <t>Světlana</t>
  </si>
  <si>
    <t>Jansová</t>
  </si>
  <si>
    <t>Gorilí manikura</t>
  </si>
  <si>
    <t>Lori mnohobarvý</t>
  </si>
  <si>
    <t>Spěváčková</t>
  </si>
  <si>
    <t>Lachtánek</t>
  </si>
  <si>
    <t>Podzimní tučňák</t>
  </si>
  <si>
    <t>Ty kliky mi dávají zabrat…</t>
  </si>
  <si>
    <t>Jde na mě spaní…</t>
  </si>
  <si>
    <t>Pohroma starověkého Egypta</t>
  </si>
  <si>
    <t>Žonglér</t>
  </si>
  <si>
    <t>Hrátky s mamkou</t>
  </si>
  <si>
    <t>Zelená mi prostě padla do oka ;-)</t>
  </si>
  <si>
    <t>Po očku vše sleduji…</t>
  </si>
  <si>
    <t>Kam mi to zas upadlo?</t>
  </si>
  <si>
    <t>Parádní metoda na hady</t>
  </si>
  <si>
    <t>"…říkali jsme mu, že jenom modlitby nás před povodní neochrání, ale to je jako bys písek na stěnu házela…"</t>
  </si>
  <si>
    <t>Tamara</t>
  </si>
  <si>
    <t>Voldřichová</t>
  </si>
  <si>
    <t>Bublifuk</t>
  </si>
  <si>
    <t>Čančání</t>
  </si>
  <si>
    <t>Dech</t>
  </si>
  <si>
    <t>Hroch ala warhole</t>
  </si>
  <si>
    <t>Kapesníček</t>
  </si>
  <si>
    <t>Mezi drahokamy</t>
  </si>
  <si>
    <t>Model</t>
  </si>
  <si>
    <t>Momentka</t>
  </si>
  <si>
    <t>Peeling</t>
  </si>
  <si>
    <t>Revize</t>
  </si>
  <si>
    <t xml:space="preserve">Nad věcí </t>
  </si>
  <si>
    <t>Pohoda v zoo</t>
  </si>
  <si>
    <t>Převlek</t>
  </si>
  <si>
    <t>Přírodní makeup</t>
  </si>
  <si>
    <t>Radost</t>
  </si>
  <si>
    <t>Společnost</t>
  </si>
  <si>
    <t>Truc</t>
  </si>
  <si>
    <t>Vodní let</t>
  </si>
  <si>
    <t>Machovčiaková</t>
  </si>
  <si>
    <t>Spáči</t>
  </si>
  <si>
    <t>Podoba</t>
  </si>
  <si>
    <t>Parťáci</t>
  </si>
  <si>
    <t>Odpočinok</t>
  </si>
  <si>
    <t>Farby</t>
  </si>
  <si>
    <t>Škvrny</t>
  </si>
  <si>
    <t>Kamenář</t>
  </si>
  <si>
    <t>Bazén</t>
  </si>
  <si>
    <t>Zrcadlení</t>
  </si>
  <si>
    <t>Babiččiny uši</t>
  </si>
  <si>
    <t>Tady velím já</t>
  </si>
  <si>
    <t>Vůdce</t>
  </si>
  <si>
    <t>Dobrota</t>
  </si>
  <si>
    <t>Pralesní přírůstek</t>
  </si>
  <si>
    <t>Fešák Hyacint</t>
  </si>
  <si>
    <t>Jako prase</t>
  </si>
  <si>
    <t>Rybičky</t>
  </si>
  <si>
    <t>Terárium ještěři</t>
  </si>
  <si>
    <t>Prase</t>
  </si>
  <si>
    <t>Antilopy</t>
  </si>
  <si>
    <t>Lední medvědi</t>
  </si>
  <si>
    <t>Wernerová</t>
  </si>
  <si>
    <t>Tak na to se podívám!</t>
  </si>
  <si>
    <t>Kříž</t>
  </si>
  <si>
    <t>Zívající kotě</t>
  </si>
  <si>
    <t>Koukající sob</t>
  </si>
  <si>
    <t xml:space="preserve">Jana </t>
  </si>
  <si>
    <t>Hubená</t>
  </si>
  <si>
    <t>Barevná souhra</t>
  </si>
  <si>
    <t>Bráchové</t>
  </si>
  <si>
    <t>Medvěd v Praze</t>
  </si>
  <si>
    <t>Pohled tajným průhledem</t>
  </si>
  <si>
    <t>Skalní lezci</t>
  </si>
  <si>
    <t>Sloní bejby</t>
  </si>
  <si>
    <t>Topi</t>
  </si>
  <si>
    <t>Pigula</t>
  </si>
  <si>
    <t>Žirafče</t>
  </si>
  <si>
    <t>Žirafí celek v polovinách</t>
  </si>
  <si>
    <t>Šilerová</t>
  </si>
  <si>
    <t>Opuštěný</t>
  </si>
  <si>
    <t>Na vycházce</t>
  </si>
  <si>
    <t>Maskování</t>
  </si>
  <si>
    <t>Koukej, co umím</t>
  </si>
  <si>
    <t>Deštivý den</t>
  </si>
  <si>
    <t>Zaostřeno</t>
  </si>
  <si>
    <t>Varování</t>
  </si>
  <si>
    <t>To je moje rodina!</t>
  </si>
  <si>
    <t>Život naruby</t>
  </si>
  <si>
    <t>Vlčková</t>
  </si>
  <si>
    <t>Aleš</t>
  </si>
  <si>
    <t>Pešek</t>
  </si>
  <si>
    <t>Hop</t>
  </si>
  <si>
    <t>Jazýčky</t>
  </si>
  <si>
    <t>Makak vepří u vodopádu</t>
  </si>
  <si>
    <t>Teď se zhoupnu</t>
  </si>
  <si>
    <t>Žirafí něžnosti</t>
  </si>
  <si>
    <t>Žirafí něžnosti II</t>
  </si>
  <si>
    <t>Žirafí něžnosti III</t>
  </si>
  <si>
    <t>Jelínek</t>
  </si>
  <si>
    <t>Nuru s košíkem</t>
  </si>
  <si>
    <t>Pózující gepard</t>
  </si>
  <si>
    <t>Zátiší s žirafami</t>
  </si>
  <si>
    <t>Všechno vidím</t>
  </si>
  <si>
    <t>Jen tak si plavu</t>
  </si>
  <si>
    <t>Žirafí stádo</t>
  </si>
  <si>
    <t>Pohoda v přepravce</t>
  </si>
  <si>
    <t>Připraven ke skoku</t>
  </si>
  <si>
    <t>Sup spící</t>
  </si>
  <si>
    <t>Surikata na hlídce</t>
  </si>
  <si>
    <t>V Údolí slonů</t>
  </si>
  <si>
    <t>Dvořáková</t>
  </si>
  <si>
    <t>Magda</t>
  </si>
  <si>
    <t>Marcela</t>
  </si>
  <si>
    <t>Zátková</t>
  </si>
  <si>
    <t>Jen tak spolu spát</t>
  </si>
  <si>
    <t>Happy mondays dobré oko</t>
  </si>
  <si>
    <t>Ústní hygiena</t>
  </si>
  <si>
    <t>Kly-majestát a smrt</t>
  </si>
  <si>
    <t>Podzim v zoo</t>
  </si>
  <si>
    <t>Hra barev</t>
  </si>
  <si>
    <t>Jako v každé rodině</t>
  </si>
  <si>
    <t>Pythagoras</t>
  </si>
  <si>
    <t>Bezpečí</t>
  </si>
  <si>
    <t>Stále stojí</t>
  </si>
  <si>
    <t>SOS</t>
  </si>
  <si>
    <t>Jako tenkrát</t>
  </si>
  <si>
    <t>Waňousová</t>
  </si>
  <si>
    <t>Ve světle</t>
  </si>
  <si>
    <t>Ve světle2</t>
  </si>
  <si>
    <t>Skákající vydra</t>
  </si>
  <si>
    <t>Vydra v lese</t>
  </si>
  <si>
    <t>Lesní radovánky</t>
  </si>
  <si>
    <t>Vojtěchovský</t>
  </si>
  <si>
    <t>Vydra skáče přes vodu</t>
  </si>
  <si>
    <t>Vydra v pohodě</t>
  </si>
  <si>
    <t>Bodláčí</t>
  </si>
  <si>
    <t>Bodláky</t>
  </si>
  <si>
    <t>Lední vodopád</t>
  </si>
  <si>
    <t>Paví král</t>
  </si>
  <si>
    <t>Ach ta paměť!</t>
  </si>
  <si>
    <t>Žirafí jazyk</t>
  </si>
  <si>
    <t>Žirafí láska</t>
  </si>
  <si>
    <t>Nešlapej na holuba</t>
  </si>
  <si>
    <t>Pekari v řadě</t>
  </si>
  <si>
    <t>Safari po česku</t>
  </si>
  <si>
    <t>Černá a bílá</t>
  </si>
  <si>
    <t>Alexandr</t>
  </si>
  <si>
    <t>Lachtanka si hraje</t>
  </si>
  <si>
    <t>Vodní hrátky</t>
  </si>
  <si>
    <t>Míčová hra</t>
  </si>
  <si>
    <t>Žirafí opojení</t>
  </si>
  <si>
    <t>Rošlapilová</t>
  </si>
  <si>
    <t>A zde máme naše další modelky…</t>
  </si>
  <si>
    <t>Ať tam jsou ty šaty pro Popelku</t>
  </si>
  <si>
    <t>Já si řasy ještě nenamalovala</t>
  </si>
  <si>
    <t>Já už budu hodný, maminko…</t>
  </si>
  <si>
    <t>Kam já dal tu peněženku</t>
  </si>
  <si>
    <t>Kdo sem dal to zrcadlo</t>
  </si>
  <si>
    <t>Někdo se dívá</t>
  </si>
  <si>
    <t>Nemají tam něco na zub</t>
  </si>
  <si>
    <t>Tak co dnes budu dělat</t>
  </si>
  <si>
    <t>Že já nevypnul tu žehličku</t>
  </si>
  <si>
    <t>Beránková</t>
  </si>
  <si>
    <t>Senát</t>
  </si>
  <si>
    <t>Královna</t>
  </si>
  <si>
    <t>Zvídavost</t>
  </si>
  <si>
    <t xml:space="preserve">Metoděj </t>
  </si>
  <si>
    <t>Žežula</t>
  </si>
  <si>
    <t>Logo Zoo Praha</t>
  </si>
  <si>
    <t>Noty</t>
  </si>
  <si>
    <t>Obezřetný sup</t>
  </si>
  <si>
    <t>Posel přichází</t>
  </si>
  <si>
    <t>Roll out</t>
  </si>
  <si>
    <t>Varan v napětí</t>
  </si>
  <si>
    <t xml:space="preserve">Vzorek </t>
  </si>
  <si>
    <t>Windows 2014</t>
  </si>
  <si>
    <t>Žežulová</t>
  </si>
  <si>
    <t>Dobrá máma</t>
  </si>
  <si>
    <t>One man show</t>
  </si>
  <si>
    <t>Dokonalé mimikry</t>
  </si>
  <si>
    <t>Attila</t>
  </si>
  <si>
    <t>Török</t>
  </si>
  <si>
    <t>Pestrost</t>
  </si>
  <si>
    <t>Nedáš něco</t>
  </si>
  <si>
    <t>Hledám ihlu</t>
  </si>
  <si>
    <t>Já som tu sám</t>
  </si>
  <si>
    <t>Máme lepšie miesto</t>
  </si>
  <si>
    <t>Nuru pozoruje</t>
  </si>
  <si>
    <t>Padli sme si do oka</t>
  </si>
  <si>
    <t>Teba eště nepoznam</t>
  </si>
  <si>
    <t>Včera to tu nebolo</t>
  </si>
  <si>
    <t>Budeme kamošu</t>
  </si>
  <si>
    <t>Na návštěvě u příbuzných</t>
  </si>
  <si>
    <t>Barevný</t>
  </si>
  <si>
    <t>Na rybách</t>
  </si>
  <si>
    <t>Načepýřený</t>
  </si>
  <si>
    <t>Schůze</t>
  </si>
  <si>
    <t>Slastná koupel</t>
  </si>
  <si>
    <t>Spáč</t>
  </si>
  <si>
    <t>Unavená</t>
  </si>
  <si>
    <t>Říhová</t>
  </si>
  <si>
    <t>Co se děje za sklem</t>
  </si>
  <si>
    <t>Abstrakce</t>
  </si>
  <si>
    <t>Hrátky s vodotryskem</t>
  </si>
  <si>
    <t>Oko krásky</t>
  </si>
  <si>
    <t>Pošeptám ti tajemství</t>
  </si>
  <si>
    <t>Pusinky</t>
  </si>
  <si>
    <t>Libor</t>
  </si>
  <si>
    <t>Říha</t>
  </si>
  <si>
    <t>Fascinace</t>
  </si>
  <si>
    <t>Krása</t>
  </si>
  <si>
    <t>Na sluníčku</t>
  </si>
  <si>
    <t>V pozoru</t>
  </si>
  <si>
    <t>Ve frontě</t>
  </si>
  <si>
    <t>Zlobítko</t>
  </si>
  <si>
    <t>Gumítek</t>
  </si>
  <si>
    <t>Z výšky</t>
  </si>
  <si>
    <t>Bohumil</t>
  </si>
  <si>
    <t>Vopat</t>
  </si>
  <si>
    <t>Klaun</t>
  </si>
  <si>
    <t>Edlman</t>
  </si>
  <si>
    <t xml:space="preserve">Viola </t>
  </si>
  <si>
    <t>Bláhová</t>
  </si>
  <si>
    <t>Gepard ve stínu</t>
  </si>
  <si>
    <t>Hrdlička v akci</t>
  </si>
  <si>
    <t>Hrdlička</t>
  </si>
  <si>
    <t>Malý lachtánek</t>
  </si>
  <si>
    <t>Na dosah ruky…</t>
  </si>
  <si>
    <t>Nezašlápnout!</t>
  </si>
  <si>
    <t>Psoun hlídač</t>
  </si>
  <si>
    <t>Tygří odpočinek</t>
  </si>
  <si>
    <t>Vydří hrátky</t>
  </si>
  <si>
    <t>Fotomodel</t>
  </si>
  <si>
    <t>No to zírám</t>
  </si>
  <si>
    <t>Poslední varování</t>
  </si>
  <si>
    <t>Z blízka</t>
  </si>
  <si>
    <t>Zahnutý chobot</t>
  </si>
  <si>
    <t>Zasněná mangusta</t>
  </si>
  <si>
    <t>Že by dvojčata</t>
  </si>
  <si>
    <t>Živoucí diamant</t>
  </si>
  <si>
    <t>Opice na větvi</t>
  </si>
  <si>
    <t>Zebra</t>
  </si>
  <si>
    <t>Sloni v akci</t>
  </si>
  <si>
    <t>Schoulený koloušek</t>
  </si>
  <si>
    <t>Malcová</t>
  </si>
  <si>
    <t>Hlavou dolů</t>
  </si>
  <si>
    <t>Večeře</t>
  </si>
  <si>
    <t>Had</t>
  </si>
  <si>
    <t>Hroší koupačka</t>
  </si>
  <si>
    <t>Zlatohlávci</t>
  </si>
  <si>
    <t>Bassy</t>
  </si>
  <si>
    <t>Na mateřské dovolené</t>
  </si>
  <si>
    <t>Nerušit! Spím.</t>
  </si>
  <si>
    <t>Bez svačiny ani den</t>
  </si>
  <si>
    <t>Jsme na svačině</t>
  </si>
  <si>
    <t>Jsme vodní živly</t>
  </si>
  <si>
    <t>Jsme vodní rodina</t>
  </si>
  <si>
    <t>Půjdeme na svačinu</t>
  </si>
  <si>
    <t>Kovanda</t>
  </si>
  <si>
    <t>Renata</t>
  </si>
  <si>
    <t>Kovandová</t>
  </si>
  <si>
    <t>Bartoloměj</t>
  </si>
  <si>
    <t>Šprachta</t>
  </si>
  <si>
    <t>Viktorie</t>
  </si>
  <si>
    <t>Šprachtová</t>
  </si>
  <si>
    <t>Nadějné vyhlídky</t>
  </si>
  <si>
    <t>Tříhlavá saň</t>
  </si>
  <si>
    <t>Kočička má zavřená očička</t>
  </si>
  <si>
    <t>Můj dům, můj hrad</t>
  </si>
  <si>
    <t xml:space="preserve">Neviděli jste mou náušnici? </t>
  </si>
  <si>
    <t>Plamínky ve vodě</t>
  </si>
  <si>
    <t>Kloboučník Šprachtová</t>
  </si>
  <si>
    <t>Pohled roztomilé šelmy</t>
  </si>
  <si>
    <t>Malý Buddha</t>
  </si>
  <si>
    <t>Kamufláž</t>
  </si>
  <si>
    <t>Mimimimikry</t>
  </si>
  <si>
    <t>Slon v zrcadle</t>
  </si>
  <si>
    <t>Nespadne mi nebe na hlavu?</t>
  </si>
  <si>
    <t>Barevný kabátek</t>
  </si>
  <si>
    <t>Naimová</t>
  </si>
  <si>
    <t>Imad</t>
  </si>
  <si>
    <t>Naim</t>
  </si>
  <si>
    <t>Johanidesová</t>
  </si>
  <si>
    <t>Pelikáni</t>
  </si>
  <si>
    <t>Žirafa a stín</t>
  </si>
  <si>
    <t xml:space="preserve">Martin </t>
  </si>
  <si>
    <t>Mára</t>
  </si>
  <si>
    <t>Duch nad surikatami</t>
  </si>
  <si>
    <t>Kdo mě najde</t>
  </si>
  <si>
    <t>Maxim</t>
  </si>
  <si>
    <t>Ahoj páve</t>
  </si>
  <si>
    <t>Konečně slunce, u žiraf1</t>
  </si>
  <si>
    <t>Konečně slunce, u žiraf2</t>
  </si>
  <si>
    <t>Konečně slunce, u žiraf3</t>
  </si>
  <si>
    <t>Konečně slunce, u žiraf4</t>
  </si>
  <si>
    <t>Konečně slunce, u žiraf5</t>
  </si>
  <si>
    <t>Márová</t>
  </si>
  <si>
    <t>A mám tě, medvěde!</t>
  </si>
  <si>
    <t>Blízké setkání třetího druhu</t>
  </si>
  <si>
    <t>Fotosoutěž 2013</t>
  </si>
  <si>
    <t>My tady někam jdeme</t>
  </si>
  <si>
    <t>Sloní mimi</t>
  </si>
  <si>
    <t>Slonisko</t>
  </si>
  <si>
    <t>Taneček</t>
  </si>
  <si>
    <t>Tvor, který nechce být viděn</t>
  </si>
  <si>
    <t>Žirafy - co nám nesete</t>
  </si>
  <si>
    <t>Karina</t>
  </si>
  <si>
    <t>Švarcová</t>
  </si>
  <si>
    <t>Telcová</t>
  </si>
  <si>
    <t>Vzorky</t>
  </si>
  <si>
    <t>Linie</t>
  </si>
  <si>
    <t>Nutríscí dovádění</t>
  </si>
  <si>
    <t>Slípky</t>
  </si>
  <si>
    <t>Dobrůtky</t>
  </si>
  <si>
    <t xml:space="preserve">Jarmila </t>
  </si>
  <si>
    <t xml:space="preserve">Kristýna </t>
  </si>
  <si>
    <t xml:space="preserve">Jiří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</si>
</sst>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NewsGot"/>
      <family val="3"/>
    </font>
    <font>
      <sz val="11"/>
      <color theme="1"/>
      <name val="NewsGot"/>
      <family val="3"/>
    </font>
    <font>
      <b/>
      <u/>
      <sz val="14"/>
      <color theme="1"/>
      <name val="NewsGot"/>
      <family val="3"/>
    </font>
    <font>
      <b/>
      <sz val="11"/>
      <color theme="1"/>
      <name val="NewsGot"/>
      <family val="3"/>
    </font>
    <font>
      <b/>
      <u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left"/>
    </xf>
    <xf numFmtId="0" fontId="3" fillId="3" borderId="7" xfId="0" applyFont="1" applyFill="1" applyBorder="1"/>
    <xf numFmtId="0" fontId="3" fillId="3" borderId="8" xfId="0" applyFont="1" applyFill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8" xfId="0" applyFont="1" applyBorder="1"/>
    <xf numFmtId="164" fontId="3" fillId="3" borderId="11" xfId="0" applyNumberFormat="1" applyFont="1" applyFill="1" applyBorder="1" applyAlignment="1">
      <alignment horizontal="left"/>
    </xf>
    <xf numFmtId="0" fontId="3" fillId="3" borderId="12" xfId="0" applyFont="1" applyFill="1" applyBorder="1"/>
    <xf numFmtId="0" fontId="3" fillId="3" borderId="13" xfId="0" applyFont="1" applyFill="1" applyBorder="1"/>
    <xf numFmtId="0" fontId="3" fillId="0" borderId="1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/>
    <xf numFmtId="0" fontId="5" fillId="3" borderId="8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4" borderId="18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0" fontId="8" fillId="4" borderId="20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0" fontId="8" fillId="5" borderId="17" xfId="0" applyFont="1" applyFill="1" applyBorder="1"/>
    <xf numFmtId="0" fontId="7" fillId="0" borderId="22" xfId="0" applyFont="1" applyBorder="1" applyAlignment="1">
      <alignment horizontal="center"/>
    </xf>
    <xf numFmtId="0" fontId="9" fillId="0" borderId="7" xfId="0" applyFont="1" applyFill="1" applyBorder="1" applyAlignment="1" applyProtection="1">
      <alignment horizontal="center" vertical="center"/>
    </xf>
    <xf numFmtId="164" fontId="9" fillId="0" borderId="23" xfId="0" applyNumberFormat="1" applyFont="1" applyFill="1" applyBorder="1" applyAlignment="1" applyProtection="1">
      <alignment horizontal="center" vertical="center" wrapText="1"/>
    </xf>
    <xf numFmtId="0" fontId="8" fillId="5" borderId="6" xfId="0" applyFont="1" applyFill="1" applyBorder="1"/>
    <xf numFmtId="0" fontId="7" fillId="0" borderId="7" xfId="0" applyFont="1" applyBorder="1" applyAlignment="1">
      <alignment horizontal="center"/>
    </xf>
    <xf numFmtId="164" fontId="9" fillId="0" borderId="24" xfId="0" applyNumberFormat="1" applyFont="1" applyFill="1" applyBorder="1" applyAlignment="1" applyProtection="1">
      <alignment horizontal="center" vertical="center" wrapText="1"/>
    </xf>
    <xf numFmtId="0" fontId="8" fillId="5" borderId="11" xfId="0" applyFont="1" applyFill="1" applyBorder="1"/>
    <xf numFmtId="0" fontId="7" fillId="0" borderId="12" xfId="0" applyFont="1" applyBorder="1" applyAlignment="1">
      <alignment horizontal="center"/>
    </xf>
    <xf numFmtId="0" fontId="9" fillId="0" borderId="12" xfId="0" applyFont="1" applyFill="1" applyBorder="1" applyAlignment="1" applyProtection="1">
      <alignment horizontal="center" vertical="center"/>
    </xf>
    <xf numFmtId="164" fontId="9" fillId="0" borderId="2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9" fillId="0" borderId="26" xfId="0" applyFont="1" applyFill="1" applyBorder="1" applyAlignment="1" applyProtection="1">
      <alignment horizontal="center" vertical="center"/>
    </xf>
    <xf numFmtId="164" fontId="9" fillId="0" borderId="27" xfId="0" applyNumberFormat="1" applyFont="1" applyFill="1" applyBorder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center" vertical="center" wrapText="1"/>
    </xf>
    <xf numFmtId="164" fontId="9" fillId="0" borderId="14" xfId="0" applyNumberFormat="1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33" xfId="0" applyFont="1" applyBorder="1"/>
    <xf numFmtId="0" fontId="5" fillId="0" borderId="34" xfId="0" applyFont="1" applyBorder="1"/>
    <xf numFmtId="0" fontId="7" fillId="0" borderId="2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64" fontId="3" fillId="3" borderId="28" xfId="0" applyNumberFormat="1" applyFont="1" applyFill="1" applyBorder="1" applyAlignment="1">
      <alignment horizontal="left"/>
    </xf>
    <xf numFmtId="0" fontId="3" fillId="3" borderId="29" xfId="0" applyFont="1" applyFill="1" applyBorder="1"/>
    <xf numFmtId="0" fontId="3" fillId="3" borderId="36" xfId="0" applyFont="1" applyFill="1" applyBorder="1"/>
    <xf numFmtId="0" fontId="3" fillId="0" borderId="28" xfId="0" applyFont="1" applyBorder="1"/>
    <xf numFmtId="0" fontId="3" fillId="0" borderId="30" xfId="0" applyFont="1" applyBorder="1"/>
    <xf numFmtId="0" fontId="3" fillId="0" borderId="37" xfId="0" applyFont="1" applyBorder="1"/>
    <xf numFmtId="0" fontId="3" fillId="0" borderId="36" xfId="0" applyFont="1" applyBorder="1"/>
    <xf numFmtId="0" fontId="5" fillId="0" borderId="38" xfId="0" applyFont="1" applyBorder="1"/>
    <xf numFmtId="0" fontId="7" fillId="0" borderId="12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9" fillId="0" borderId="14" xfId="0" applyNumberFormat="1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" fillId="2" borderId="35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8"/>
  <sheetViews>
    <sheetView tabSelected="1" zoomScale="85" zoomScaleNormal="85" workbookViewId="0">
      <pane ySplit="3" topLeftCell="A4" activePane="bottomLeft" state="frozen"/>
      <selection pane="bottomLeft" activeCell="H213" sqref="H213"/>
    </sheetView>
  </sheetViews>
  <sheetFormatPr defaultRowHeight="15" x14ac:dyDescent="0.25"/>
  <cols>
    <col min="1" max="1" width="9.140625" style="1" bestFit="1" customWidth="1"/>
    <col min="2" max="2" width="9.85546875" style="1" bestFit="1" customWidth="1"/>
    <col min="3" max="3" width="19.42578125" style="1" bestFit="1" customWidth="1"/>
    <col min="4" max="4" width="27.85546875" style="1" bestFit="1" customWidth="1"/>
    <col min="5" max="5" width="5.7109375" style="1" customWidth="1"/>
    <col min="6" max="6" width="26.85546875" style="1" bestFit="1" customWidth="1"/>
    <col min="7" max="7" width="5.7109375" style="1" customWidth="1"/>
    <col min="8" max="8" width="28.5703125" style="1" bestFit="1" customWidth="1"/>
    <col min="9" max="9" width="5.7109375" style="1" customWidth="1"/>
    <col min="10" max="10" width="18.7109375" style="1" customWidth="1"/>
    <col min="11" max="11" width="5.7109375" style="1" customWidth="1"/>
    <col min="12" max="12" width="18.7109375" style="1" customWidth="1"/>
    <col min="13" max="13" width="5.7109375" style="1" customWidth="1"/>
    <col min="14" max="14" width="18.7109375" style="1" customWidth="1"/>
    <col min="15" max="15" width="5.7109375" style="1" customWidth="1"/>
    <col min="16" max="16" width="25.5703125" style="1" customWidth="1"/>
    <col min="17" max="17" width="5.7109375" style="1" customWidth="1"/>
    <col min="18" max="18" width="18.7109375" style="1" customWidth="1"/>
    <col min="19" max="19" width="5.7109375" style="1" customWidth="1"/>
    <col min="20" max="20" width="18.7109375" style="1" customWidth="1"/>
    <col min="21" max="21" width="5.7109375" style="1" customWidth="1"/>
    <col min="22" max="22" width="18.7109375" style="1" customWidth="1"/>
    <col min="23" max="23" width="5.7109375" style="1" customWidth="1"/>
    <col min="24" max="24" width="9.140625" style="22"/>
    <col min="25" max="16384" width="9.140625" style="1"/>
  </cols>
  <sheetData>
    <row r="1" spans="1:24" ht="24" thickBo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24" x14ac:dyDescent="0.25">
      <c r="A2" s="80" t="s">
        <v>1</v>
      </c>
      <c r="B2" s="82" t="s">
        <v>2</v>
      </c>
      <c r="C2" s="84" t="s">
        <v>3</v>
      </c>
      <c r="D2" s="77" t="s">
        <v>9</v>
      </c>
      <c r="E2" s="78"/>
      <c r="F2" s="86" t="s">
        <v>10</v>
      </c>
      <c r="G2" s="87"/>
      <c r="H2" s="77" t="s">
        <v>11</v>
      </c>
      <c r="I2" s="78"/>
      <c r="J2" s="86" t="s">
        <v>12</v>
      </c>
      <c r="K2" s="87"/>
      <c r="L2" s="77" t="s">
        <v>13</v>
      </c>
      <c r="M2" s="78"/>
      <c r="N2" s="86" t="s">
        <v>14</v>
      </c>
      <c r="O2" s="87"/>
      <c r="P2" s="77" t="s">
        <v>15</v>
      </c>
      <c r="Q2" s="78"/>
      <c r="R2" s="77" t="s">
        <v>16</v>
      </c>
      <c r="S2" s="78"/>
      <c r="T2" s="77" t="s">
        <v>17</v>
      </c>
      <c r="U2" s="78"/>
      <c r="V2" s="77" t="s">
        <v>18</v>
      </c>
      <c r="W2" s="87"/>
      <c r="X2" s="75" t="s">
        <v>19</v>
      </c>
    </row>
    <row r="3" spans="1:24" x14ac:dyDescent="0.25">
      <c r="A3" s="81"/>
      <c r="B3" s="83"/>
      <c r="C3" s="85"/>
      <c r="D3" s="2" t="s">
        <v>4</v>
      </c>
      <c r="E3" s="3" t="s">
        <v>5</v>
      </c>
      <c r="F3" s="4" t="s">
        <v>4</v>
      </c>
      <c r="G3" s="5" t="s">
        <v>5</v>
      </c>
      <c r="H3" s="2" t="s">
        <v>4</v>
      </c>
      <c r="I3" s="3" t="s">
        <v>5</v>
      </c>
      <c r="J3" s="4" t="s">
        <v>4</v>
      </c>
      <c r="K3" s="5" t="s">
        <v>5</v>
      </c>
      <c r="L3" s="2" t="s">
        <v>4</v>
      </c>
      <c r="M3" s="3" t="s">
        <v>5</v>
      </c>
      <c r="N3" s="4" t="s">
        <v>4</v>
      </c>
      <c r="O3" s="5" t="s">
        <v>5</v>
      </c>
      <c r="P3" s="2" t="s">
        <v>4</v>
      </c>
      <c r="Q3" s="3" t="s">
        <v>5</v>
      </c>
      <c r="R3" s="2" t="s">
        <v>4</v>
      </c>
      <c r="S3" s="3" t="s">
        <v>5</v>
      </c>
      <c r="T3" s="2" t="s">
        <v>4</v>
      </c>
      <c r="U3" s="3" t="s">
        <v>5</v>
      </c>
      <c r="V3" s="2" t="s">
        <v>4</v>
      </c>
      <c r="W3" s="5" t="s">
        <v>5</v>
      </c>
      <c r="X3" s="76"/>
    </row>
    <row r="4" spans="1:24" x14ac:dyDescent="0.25">
      <c r="A4" s="6">
        <v>4</v>
      </c>
      <c r="B4" s="7" t="s">
        <v>204</v>
      </c>
      <c r="C4" s="8" t="s">
        <v>532</v>
      </c>
      <c r="D4" s="9" t="s">
        <v>533</v>
      </c>
      <c r="E4" s="10">
        <v>5</v>
      </c>
      <c r="F4" s="11" t="s">
        <v>534</v>
      </c>
      <c r="G4" s="12">
        <v>3</v>
      </c>
      <c r="H4" s="9" t="s">
        <v>535</v>
      </c>
      <c r="I4" s="10"/>
      <c r="J4" s="11" t="s">
        <v>536</v>
      </c>
      <c r="K4" s="12">
        <f>6+5+5</f>
        <v>16</v>
      </c>
      <c r="L4" s="9" t="s">
        <v>537</v>
      </c>
      <c r="M4" s="10">
        <f>7+8</f>
        <v>15</v>
      </c>
      <c r="N4" s="11" t="s">
        <v>538</v>
      </c>
      <c r="O4" s="12">
        <f>3+6</f>
        <v>9</v>
      </c>
      <c r="P4" s="9" t="s">
        <v>539</v>
      </c>
      <c r="Q4" s="10">
        <v>3</v>
      </c>
      <c r="R4" s="9" t="s">
        <v>540</v>
      </c>
      <c r="S4" s="10"/>
      <c r="T4" s="9" t="s">
        <v>704</v>
      </c>
      <c r="U4" s="10">
        <v>3</v>
      </c>
      <c r="V4" s="9" t="s">
        <v>705</v>
      </c>
      <c r="W4" s="12">
        <v>6</v>
      </c>
      <c r="X4" s="53">
        <f t="shared" ref="X4:X67" si="0">E4+G4+I4+K4+M4+O4+Q4+S4+U4+W4</f>
        <v>60</v>
      </c>
    </row>
    <row r="5" spans="1:24" x14ac:dyDescent="0.25">
      <c r="A5" s="6">
        <v>5</v>
      </c>
      <c r="B5" s="7" t="s">
        <v>855</v>
      </c>
      <c r="C5" s="8" t="s">
        <v>1014</v>
      </c>
      <c r="D5" s="9" t="s">
        <v>1497</v>
      </c>
      <c r="E5" s="10">
        <v>5</v>
      </c>
      <c r="F5" s="11" t="s">
        <v>1498</v>
      </c>
      <c r="G5" s="12"/>
      <c r="H5" s="9" t="s">
        <v>1499</v>
      </c>
      <c r="I5" s="10"/>
      <c r="J5" s="11" t="s">
        <v>1500</v>
      </c>
      <c r="K5" s="12"/>
      <c r="L5" s="9" t="s">
        <v>1501</v>
      </c>
      <c r="M5" s="10">
        <v>5</v>
      </c>
      <c r="N5" s="11" t="s">
        <v>1502</v>
      </c>
      <c r="O5" s="12"/>
      <c r="P5" s="9" t="s">
        <v>1503</v>
      </c>
      <c r="Q5" s="10"/>
      <c r="R5" s="9"/>
      <c r="S5" s="10"/>
      <c r="T5" s="9"/>
      <c r="U5" s="10"/>
      <c r="V5" s="9"/>
      <c r="W5" s="12"/>
      <c r="X5" s="53">
        <f t="shared" si="0"/>
        <v>10</v>
      </c>
    </row>
    <row r="6" spans="1:24" x14ac:dyDescent="0.25">
      <c r="A6" s="6">
        <v>6</v>
      </c>
      <c r="B6" s="7" t="s">
        <v>700</v>
      </c>
      <c r="C6" s="8" t="s">
        <v>711</v>
      </c>
      <c r="D6" s="9" t="s">
        <v>712</v>
      </c>
      <c r="E6" s="10"/>
      <c r="F6" s="11" t="s">
        <v>713</v>
      </c>
      <c r="G6" s="12"/>
      <c r="H6" s="9" t="s">
        <v>714</v>
      </c>
      <c r="I6" s="10"/>
      <c r="J6" s="11" t="s">
        <v>715</v>
      </c>
      <c r="K6" s="12"/>
      <c r="L6" s="9" t="s">
        <v>716</v>
      </c>
      <c r="M6" s="10">
        <f>3+5</f>
        <v>8</v>
      </c>
      <c r="N6" s="11" t="s">
        <v>717</v>
      </c>
      <c r="O6" s="12">
        <f>5+4</f>
        <v>9</v>
      </c>
      <c r="P6" s="9" t="s">
        <v>718</v>
      </c>
      <c r="Q6" s="10"/>
      <c r="R6" s="9" t="s">
        <v>719</v>
      </c>
      <c r="S6" s="10">
        <f>6+5</f>
        <v>11</v>
      </c>
      <c r="T6" s="9" t="s">
        <v>440</v>
      </c>
      <c r="U6" s="10"/>
      <c r="V6" s="9" t="s">
        <v>720</v>
      </c>
      <c r="W6" s="12"/>
      <c r="X6" s="53">
        <f t="shared" si="0"/>
        <v>28</v>
      </c>
    </row>
    <row r="7" spans="1:24" x14ac:dyDescent="0.25">
      <c r="A7" s="6">
        <v>7</v>
      </c>
      <c r="B7" s="7" t="s">
        <v>700</v>
      </c>
      <c r="C7" s="8" t="s">
        <v>701</v>
      </c>
      <c r="D7" s="9" t="s">
        <v>702</v>
      </c>
      <c r="E7" s="10"/>
      <c r="F7" s="11" t="s">
        <v>703</v>
      </c>
      <c r="G7" s="12"/>
      <c r="H7" s="9" t="s">
        <v>706</v>
      </c>
      <c r="I7" s="10"/>
      <c r="J7" s="11" t="s">
        <v>500</v>
      </c>
      <c r="K7" s="12"/>
      <c r="L7" s="9" t="s">
        <v>510</v>
      </c>
      <c r="M7" s="10">
        <v>4</v>
      </c>
      <c r="N7" s="11" t="s">
        <v>233</v>
      </c>
      <c r="O7" s="12">
        <v>4</v>
      </c>
      <c r="P7" s="9" t="s">
        <v>707</v>
      </c>
      <c r="Q7" s="10"/>
      <c r="R7" s="9" t="s">
        <v>708</v>
      </c>
      <c r="S7" s="10"/>
      <c r="T7" s="9" t="s">
        <v>709</v>
      </c>
      <c r="U7" s="10">
        <v>3</v>
      </c>
      <c r="V7" s="9" t="s">
        <v>710</v>
      </c>
      <c r="W7" s="12">
        <v>5</v>
      </c>
      <c r="X7" s="53">
        <f t="shared" si="0"/>
        <v>16</v>
      </c>
    </row>
    <row r="8" spans="1:24" x14ac:dyDescent="0.25">
      <c r="A8" s="6">
        <v>8</v>
      </c>
      <c r="B8" s="7" t="s">
        <v>200</v>
      </c>
      <c r="C8" s="8" t="s">
        <v>521</v>
      </c>
      <c r="D8" s="9" t="s">
        <v>522</v>
      </c>
      <c r="E8" s="10">
        <f>6+3</f>
        <v>9</v>
      </c>
      <c r="F8" s="11" t="s">
        <v>523</v>
      </c>
      <c r="G8" s="12"/>
      <c r="H8" s="9" t="s">
        <v>524</v>
      </c>
      <c r="I8" s="10"/>
      <c r="J8" s="11" t="s">
        <v>525</v>
      </c>
      <c r="K8" s="12"/>
      <c r="L8" s="9" t="s">
        <v>526</v>
      </c>
      <c r="M8" s="10"/>
      <c r="N8" s="11" t="s">
        <v>527</v>
      </c>
      <c r="O8" s="12"/>
      <c r="P8" s="9" t="s">
        <v>528</v>
      </c>
      <c r="Q8" s="10">
        <v>5</v>
      </c>
      <c r="R8" s="9" t="s">
        <v>529</v>
      </c>
      <c r="S8" s="10">
        <v>6</v>
      </c>
      <c r="T8" s="9" t="s">
        <v>530</v>
      </c>
      <c r="U8" s="10">
        <v>6</v>
      </c>
      <c r="V8" s="9" t="s">
        <v>531</v>
      </c>
      <c r="W8" s="12"/>
      <c r="X8" s="53">
        <f t="shared" si="0"/>
        <v>26</v>
      </c>
    </row>
    <row r="9" spans="1:24" x14ac:dyDescent="0.25">
      <c r="A9" s="6">
        <v>9</v>
      </c>
      <c r="B9" s="7" t="s">
        <v>432</v>
      </c>
      <c r="C9" s="8" t="s">
        <v>598</v>
      </c>
      <c r="D9" s="9" t="s">
        <v>599</v>
      </c>
      <c r="E9" s="10"/>
      <c r="F9" s="11" t="s">
        <v>600</v>
      </c>
      <c r="G9" s="12">
        <v>4</v>
      </c>
      <c r="H9" s="9" t="s">
        <v>601</v>
      </c>
      <c r="I9" s="10">
        <v>5</v>
      </c>
      <c r="J9" s="11"/>
      <c r="K9" s="12"/>
      <c r="L9" s="9"/>
      <c r="M9" s="10"/>
      <c r="N9" s="11"/>
      <c r="O9" s="12"/>
      <c r="P9" s="9"/>
      <c r="Q9" s="10"/>
      <c r="R9" s="9"/>
      <c r="S9" s="10"/>
      <c r="T9" s="9"/>
      <c r="U9" s="10"/>
      <c r="V9" s="9"/>
      <c r="W9" s="12"/>
      <c r="X9" s="53">
        <f t="shared" si="0"/>
        <v>9</v>
      </c>
    </row>
    <row r="10" spans="1:24" x14ac:dyDescent="0.25">
      <c r="A10" s="6">
        <v>17</v>
      </c>
      <c r="B10" s="7" t="s">
        <v>163</v>
      </c>
      <c r="C10" s="8" t="s">
        <v>164</v>
      </c>
      <c r="D10" s="9" t="s">
        <v>165</v>
      </c>
      <c r="E10" s="10">
        <f>7+6+7+8+6</f>
        <v>34</v>
      </c>
      <c r="F10" s="11" t="s">
        <v>166</v>
      </c>
      <c r="G10" s="12">
        <v>5</v>
      </c>
      <c r="H10" s="9" t="s">
        <v>167</v>
      </c>
      <c r="I10" s="10">
        <v>3</v>
      </c>
      <c r="J10" s="11"/>
      <c r="K10" s="12"/>
      <c r="L10" s="9"/>
      <c r="M10" s="10"/>
      <c r="N10" s="11"/>
      <c r="O10" s="12"/>
      <c r="P10" s="9"/>
      <c r="Q10" s="10"/>
      <c r="R10" s="9"/>
      <c r="S10" s="10"/>
      <c r="T10" s="9"/>
      <c r="U10" s="10"/>
      <c r="V10" s="9"/>
      <c r="W10" s="12"/>
      <c r="X10" s="53">
        <f t="shared" si="0"/>
        <v>42</v>
      </c>
    </row>
    <row r="11" spans="1:24" x14ac:dyDescent="0.25">
      <c r="A11" s="6">
        <v>34</v>
      </c>
      <c r="B11" s="7" t="s">
        <v>567</v>
      </c>
      <c r="C11" s="8" t="s">
        <v>568</v>
      </c>
      <c r="D11" s="9" t="s">
        <v>569</v>
      </c>
      <c r="E11" s="10"/>
      <c r="F11" s="11" t="s">
        <v>570</v>
      </c>
      <c r="G11" s="12">
        <v>5</v>
      </c>
      <c r="H11" s="9" t="s">
        <v>571</v>
      </c>
      <c r="I11" s="10">
        <v>6</v>
      </c>
      <c r="J11" s="11" t="s">
        <v>572</v>
      </c>
      <c r="K11" s="12"/>
      <c r="L11" s="9" t="s">
        <v>573</v>
      </c>
      <c r="M11" s="10"/>
      <c r="N11" s="11" t="s">
        <v>574</v>
      </c>
      <c r="O11" s="12"/>
      <c r="P11" s="9" t="s">
        <v>575</v>
      </c>
      <c r="Q11" s="10">
        <v>5</v>
      </c>
      <c r="R11" s="9" t="s">
        <v>799</v>
      </c>
      <c r="S11" s="10"/>
      <c r="T11" s="9" t="s">
        <v>800</v>
      </c>
      <c r="U11" s="10"/>
      <c r="V11" s="9" t="s">
        <v>801</v>
      </c>
      <c r="W11" s="12"/>
      <c r="X11" s="53">
        <f t="shared" si="0"/>
        <v>16</v>
      </c>
    </row>
    <row r="12" spans="1:24" x14ac:dyDescent="0.25">
      <c r="A12" s="6">
        <v>35</v>
      </c>
      <c r="B12" s="7" t="s">
        <v>652</v>
      </c>
      <c r="C12" s="8" t="s">
        <v>653</v>
      </c>
      <c r="D12" s="9" t="s">
        <v>654</v>
      </c>
      <c r="E12" s="10">
        <f>6+6+6</f>
        <v>18</v>
      </c>
      <c r="F12" s="11" t="s">
        <v>655</v>
      </c>
      <c r="G12" s="12">
        <f>9+8+6</f>
        <v>23</v>
      </c>
      <c r="H12" s="9" t="s">
        <v>656</v>
      </c>
      <c r="I12" s="10"/>
      <c r="J12" s="11" t="s">
        <v>657</v>
      </c>
      <c r="K12" s="12"/>
      <c r="L12" s="9" t="s">
        <v>658</v>
      </c>
      <c r="M12" s="10">
        <f>8+6+7</f>
        <v>21</v>
      </c>
      <c r="N12" s="11" t="s">
        <v>659</v>
      </c>
      <c r="O12" s="12">
        <v>6</v>
      </c>
      <c r="P12" s="9" t="s">
        <v>660</v>
      </c>
      <c r="Q12" s="10"/>
      <c r="R12" s="9" t="s">
        <v>661</v>
      </c>
      <c r="S12" s="10">
        <f>7+9+5</f>
        <v>21</v>
      </c>
      <c r="T12" s="9" t="s">
        <v>1104</v>
      </c>
      <c r="U12" s="10"/>
      <c r="V12" s="9" t="s">
        <v>1105</v>
      </c>
      <c r="W12" s="12"/>
      <c r="X12" s="53">
        <f t="shared" si="0"/>
        <v>89</v>
      </c>
    </row>
    <row r="13" spans="1:24" x14ac:dyDescent="0.25">
      <c r="A13" s="6">
        <v>36</v>
      </c>
      <c r="B13" s="7" t="s">
        <v>1102</v>
      </c>
      <c r="C13" s="8" t="s">
        <v>1078</v>
      </c>
      <c r="D13" s="9" t="s">
        <v>41</v>
      </c>
      <c r="E13" s="10">
        <f>7+9+5+8+7</f>
        <v>36</v>
      </c>
      <c r="F13" s="11" t="s">
        <v>145</v>
      </c>
      <c r="G13" s="12">
        <v>7</v>
      </c>
      <c r="H13" s="9" t="s">
        <v>1103</v>
      </c>
      <c r="I13" s="10">
        <f>7+5</f>
        <v>12</v>
      </c>
      <c r="J13" s="11"/>
      <c r="K13" s="12"/>
      <c r="L13" s="9"/>
      <c r="M13" s="10"/>
      <c r="N13" s="11"/>
      <c r="O13" s="12"/>
      <c r="P13" s="9"/>
      <c r="Q13" s="10"/>
      <c r="R13" s="9"/>
      <c r="S13" s="10"/>
      <c r="T13" s="9"/>
      <c r="U13" s="10"/>
      <c r="V13" s="9"/>
      <c r="W13" s="12"/>
      <c r="X13" s="53">
        <f t="shared" si="0"/>
        <v>55</v>
      </c>
    </row>
    <row r="14" spans="1:24" x14ac:dyDescent="0.25">
      <c r="A14" s="6">
        <v>38</v>
      </c>
      <c r="B14" s="7" t="s">
        <v>753</v>
      </c>
      <c r="C14" s="8" t="s">
        <v>754</v>
      </c>
      <c r="D14" s="9" t="s">
        <v>755</v>
      </c>
      <c r="E14" s="10">
        <f>5+5+6+4</f>
        <v>20</v>
      </c>
      <c r="F14" s="11" t="s">
        <v>756</v>
      </c>
      <c r="G14" s="12">
        <f>5+5</f>
        <v>10</v>
      </c>
      <c r="H14" s="9" t="s">
        <v>757</v>
      </c>
      <c r="I14" s="10"/>
      <c r="J14" s="11" t="s">
        <v>758</v>
      </c>
      <c r="K14" s="12"/>
      <c r="L14" s="9" t="s">
        <v>759</v>
      </c>
      <c r="M14" s="10">
        <v>4</v>
      </c>
      <c r="N14" s="11" t="s">
        <v>760</v>
      </c>
      <c r="O14" s="12"/>
      <c r="P14" s="9" t="s">
        <v>761</v>
      </c>
      <c r="Q14" s="10"/>
      <c r="R14" s="9" t="s">
        <v>762</v>
      </c>
      <c r="S14" s="10"/>
      <c r="T14" s="9" t="s">
        <v>763</v>
      </c>
      <c r="U14" s="10">
        <v>6</v>
      </c>
      <c r="V14" s="9" t="s">
        <v>764</v>
      </c>
      <c r="W14" s="12"/>
      <c r="X14" s="53">
        <f t="shared" si="0"/>
        <v>40</v>
      </c>
    </row>
    <row r="15" spans="1:24" x14ac:dyDescent="0.25">
      <c r="A15" s="6">
        <v>43</v>
      </c>
      <c r="B15" s="7" t="s">
        <v>577</v>
      </c>
      <c r="C15" s="8" t="s">
        <v>1078</v>
      </c>
      <c r="D15" s="9" t="s">
        <v>81</v>
      </c>
      <c r="E15" s="10">
        <v>5</v>
      </c>
      <c r="F15" s="11" t="s">
        <v>1079</v>
      </c>
      <c r="G15" s="12">
        <f>8+5+5</f>
        <v>18</v>
      </c>
      <c r="H15" s="9" t="s">
        <v>869</v>
      </c>
      <c r="I15" s="10">
        <f>5+7+4</f>
        <v>16</v>
      </c>
      <c r="J15" s="11"/>
      <c r="K15" s="12"/>
      <c r="L15" s="9"/>
      <c r="M15" s="10"/>
      <c r="N15" s="11"/>
      <c r="O15" s="12"/>
      <c r="P15" s="9"/>
      <c r="Q15" s="10"/>
      <c r="R15" s="9"/>
      <c r="S15" s="10"/>
      <c r="T15" s="9"/>
      <c r="U15" s="10"/>
      <c r="V15" s="9"/>
      <c r="W15" s="12"/>
      <c r="X15" s="53">
        <f t="shared" si="0"/>
        <v>39</v>
      </c>
    </row>
    <row r="16" spans="1:24" x14ac:dyDescent="0.25">
      <c r="A16" s="6">
        <v>61</v>
      </c>
      <c r="B16" s="7" t="s">
        <v>336</v>
      </c>
      <c r="C16" s="8" t="s">
        <v>1139</v>
      </c>
      <c r="D16" s="9" t="s">
        <v>1146</v>
      </c>
      <c r="E16" s="10"/>
      <c r="F16" s="11" t="s">
        <v>1147</v>
      </c>
      <c r="G16" s="12">
        <v>6</v>
      </c>
      <c r="H16" s="9" t="s">
        <v>1148</v>
      </c>
      <c r="I16" s="10">
        <f>8+9+8+10+9+9+9+7</f>
        <v>69</v>
      </c>
      <c r="J16" s="11" t="s">
        <v>1149</v>
      </c>
      <c r="K16" s="12">
        <v>6</v>
      </c>
      <c r="L16" s="9" t="s">
        <v>1150</v>
      </c>
      <c r="M16" s="10"/>
      <c r="N16" s="11" t="s">
        <v>1151</v>
      </c>
      <c r="O16" s="12"/>
      <c r="P16" s="9" t="s">
        <v>1152</v>
      </c>
      <c r="Q16" s="10">
        <f>9+8</f>
        <v>17</v>
      </c>
      <c r="R16" s="9" t="s">
        <v>1153</v>
      </c>
      <c r="S16" s="10">
        <f>9+9+9+8+8</f>
        <v>43</v>
      </c>
      <c r="T16" s="9" t="s">
        <v>1154</v>
      </c>
      <c r="U16" s="10">
        <v>7</v>
      </c>
      <c r="V16" s="9" t="s">
        <v>41</v>
      </c>
      <c r="W16" s="12">
        <f>8+8+7</f>
        <v>23</v>
      </c>
      <c r="X16" s="53">
        <f t="shared" si="0"/>
        <v>171</v>
      </c>
    </row>
    <row r="17" spans="1:24" x14ac:dyDescent="0.25">
      <c r="A17" s="6">
        <v>62</v>
      </c>
      <c r="B17" s="7" t="s">
        <v>29</v>
      </c>
      <c r="C17" s="8" t="s">
        <v>30</v>
      </c>
      <c r="D17" s="9" t="s">
        <v>28</v>
      </c>
      <c r="E17" s="10"/>
      <c r="F17" s="11"/>
      <c r="G17" s="12"/>
      <c r="H17" s="9"/>
      <c r="I17" s="10"/>
      <c r="J17" s="11"/>
      <c r="K17" s="12"/>
      <c r="L17" s="9"/>
      <c r="M17" s="10"/>
      <c r="N17" s="11"/>
      <c r="O17" s="12"/>
      <c r="P17" s="9"/>
      <c r="Q17" s="10"/>
      <c r="R17" s="9"/>
      <c r="S17" s="10"/>
      <c r="T17" s="9"/>
      <c r="U17" s="10"/>
      <c r="V17" s="9"/>
      <c r="W17" s="12"/>
      <c r="X17" s="53">
        <f t="shared" si="0"/>
        <v>0</v>
      </c>
    </row>
    <row r="18" spans="1:24" x14ac:dyDescent="0.25">
      <c r="A18" s="6">
        <v>63</v>
      </c>
      <c r="B18" s="7" t="s">
        <v>613</v>
      </c>
      <c r="C18" s="8" t="s">
        <v>1176</v>
      </c>
      <c r="D18" s="9" t="s">
        <v>215</v>
      </c>
      <c r="E18" s="10"/>
      <c r="F18" s="11" t="s">
        <v>457</v>
      </c>
      <c r="G18" s="12">
        <f>4+2</f>
        <v>6</v>
      </c>
      <c r="H18" s="9" t="s">
        <v>458</v>
      </c>
      <c r="I18" s="10">
        <v>5</v>
      </c>
      <c r="J18" s="11" t="s">
        <v>459</v>
      </c>
      <c r="K18" s="12"/>
      <c r="L18" s="9" t="s">
        <v>460</v>
      </c>
      <c r="M18" s="10">
        <f>9+4+4</f>
        <v>17</v>
      </c>
      <c r="N18" s="11" t="s">
        <v>461</v>
      </c>
      <c r="O18" s="12"/>
      <c r="P18" s="9" t="s">
        <v>462</v>
      </c>
      <c r="Q18" s="10"/>
      <c r="R18" s="9" t="s">
        <v>463</v>
      </c>
      <c r="S18" s="10">
        <f>6+6</f>
        <v>12</v>
      </c>
      <c r="T18" s="9" t="s">
        <v>464</v>
      </c>
      <c r="U18" s="10">
        <v>7</v>
      </c>
      <c r="V18" s="9" t="s">
        <v>1068</v>
      </c>
      <c r="W18" s="12">
        <f>5+7</f>
        <v>12</v>
      </c>
      <c r="X18" s="53">
        <f t="shared" si="0"/>
        <v>59</v>
      </c>
    </row>
    <row r="19" spans="1:24" x14ac:dyDescent="0.25">
      <c r="A19" s="6">
        <v>64</v>
      </c>
      <c r="B19" s="7" t="s">
        <v>567</v>
      </c>
      <c r="C19" s="8" t="s">
        <v>1292</v>
      </c>
      <c r="D19" s="9" t="s">
        <v>1293</v>
      </c>
      <c r="E19" s="10">
        <v>9</v>
      </c>
      <c r="F19" s="11" t="s">
        <v>1294</v>
      </c>
      <c r="G19" s="12">
        <f>8+8</f>
        <v>16</v>
      </c>
      <c r="H19" s="9" t="s">
        <v>1295</v>
      </c>
      <c r="I19" s="10">
        <v>6</v>
      </c>
      <c r="J19" s="11" t="s">
        <v>370</v>
      </c>
      <c r="K19" s="12">
        <f>8+7+5</f>
        <v>20</v>
      </c>
      <c r="L19" s="9" t="s">
        <v>1296</v>
      </c>
      <c r="M19" s="10">
        <f>8+8+7+4</f>
        <v>27</v>
      </c>
      <c r="N19" s="11" t="s">
        <v>1297</v>
      </c>
      <c r="O19" s="12">
        <f>9+6+8+7+5</f>
        <v>35</v>
      </c>
      <c r="P19" s="9" t="s">
        <v>1298</v>
      </c>
      <c r="Q19" s="10">
        <v>8</v>
      </c>
      <c r="R19" s="9" t="s">
        <v>1299</v>
      </c>
      <c r="S19" s="10">
        <v>6</v>
      </c>
      <c r="T19" s="9" t="s">
        <v>1300</v>
      </c>
      <c r="U19" s="10">
        <v>6</v>
      </c>
      <c r="V19" s="9" t="s">
        <v>1301</v>
      </c>
      <c r="W19" s="12">
        <v>6</v>
      </c>
      <c r="X19" s="53">
        <f t="shared" si="0"/>
        <v>139</v>
      </c>
    </row>
    <row r="20" spans="1:24" x14ac:dyDescent="0.25">
      <c r="A20" s="6">
        <v>71</v>
      </c>
      <c r="B20" s="7" t="s">
        <v>313</v>
      </c>
      <c r="C20" s="8" t="s">
        <v>1136</v>
      </c>
      <c r="D20" s="9" t="s">
        <v>1137</v>
      </c>
      <c r="E20" s="10">
        <v>5</v>
      </c>
      <c r="F20" s="11"/>
      <c r="G20" s="12"/>
      <c r="H20" s="9"/>
      <c r="I20" s="10"/>
      <c r="J20" s="11"/>
      <c r="K20" s="12"/>
      <c r="L20" s="9"/>
      <c r="M20" s="10"/>
      <c r="N20" s="11"/>
      <c r="O20" s="12"/>
      <c r="P20" s="9"/>
      <c r="Q20" s="10"/>
      <c r="R20" s="9"/>
      <c r="S20" s="10"/>
      <c r="T20" s="9"/>
      <c r="U20" s="10"/>
      <c r="V20" s="9"/>
      <c r="W20" s="12"/>
      <c r="X20" s="53">
        <f t="shared" si="0"/>
        <v>5</v>
      </c>
    </row>
    <row r="21" spans="1:24" x14ac:dyDescent="0.25">
      <c r="A21" s="6">
        <v>72</v>
      </c>
      <c r="B21" s="7" t="s">
        <v>982</v>
      </c>
      <c r="C21" s="8" t="s">
        <v>983</v>
      </c>
      <c r="D21" s="9" t="s">
        <v>984</v>
      </c>
      <c r="E21" s="10">
        <f>5+7</f>
        <v>12</v>
      </c>
      <c r="F21" s="11"/>
      <c r="G21" s="12"/>
      <c r="H21" s="9"/>
      <c r="I21" s="10"/>
      <c r="J21" s="11"/>
      <c r="K21" s="12"/>
      <c r="L21" s="9"/>
      <c r="M21" s="10"/>
      <c r="N21" s="11"/>
      <c r="O21" s="12"/>
      <c r="P21" s="9"/>
      <c r="Q21" s="10"/>
      <c r="R21" s="9"/>
      <c r="S21" s="10"/>
      <c r="T21" s="9"/>
      <c r="U21" s="10"/>
      <c r="V21" s="9"/>
      <c r="W21" s="12"/>
      <c r="X21" s="53">
        <f t="shared" si="0"/>
        <v>12</v>
      </c>
    </row>
    <row r="22" spans="1:24" x14ac:dyDescent="0.25">
      <c r="A22" s="6">
        <v>74</v>
      </c>
      <c r="B22" s="7" t="s">
        <v>1426</v>
      </c>
      <c r="C22" s="8" t="s">
        <v>1427</v>
      </c>
      <c r="D22" s="9" t="s">
        <v>1428</v>
      </c>
      <c r="E22" s="10">
        <f>4+5</f>
        <v>9</v>
      </c>
      <c r="F22" s="11" t="s">
        <v>1429</v>
      </c>
      <c r="G22" s="12">
        <f>5+5+8+9+6</f>
        <v>33</v>
      </c>
      <c r="H22" s="9" t="s">
        <v>1430</v>
      </c>
      <c r="I22" s="10">
        <v>4</v>
      </c>
      <c r="J22" s="11" t="s">
        <v>1431</v>
      </c>
      <c r="K22" s="12">
        <f>4+5</f>
        <v>9</v>
      </c>
      <c r="L22" s="9" t="s">
        <v>1432</v>
      </c>
      <c r="M22" s="10">
        <v>5</v>
      </c>
      <c r="N22" s="11" t="s">
        <v>1433</v>
      </c>
      <c r="O22" s="12">
        <v>4</v>
      </c>
      <c r="P22" s="9" t="s">
        <v>1434</v>
      </c>
      <c r="Q22" s="10"/>
      <c r="R22" s="9" t="s">
        <v>1435</v>
      </c>
      <c r="S22" s="10"/>
      <c r="T22" s="9" t="s">
        <v>1436</v>
      </c>
      <c r="U22" s="10"/>
      <c r="V22" s="9" t="s">
        <v>1437</v>
      </c>
      <c r="W22" s="12"/>
      <c r="X22" s="53">
        <f t="shared" si="0"/>
        <v>64</v>
      </c>
    </row>
    <row r="23" spans="1:24" x14ac:dyDescent="0.25">
      <c r="A23" s="6">
        <v>76</v>
      </c>
      <c r="B23" s="7" t="s">
        <v>419</v>
      </c>
      <c r="C23" s="8" t="s">
        <v>417</v>
      </c>
      <c r="D23" s="9" t="s">
        <v>420</v>
      </c>
      <c r="E23" s="10"/>
      <c r="F23" s="11" t="s">
        <v>181</v>
      </c>
      <c r="G23" s="12"/>
      <c r="H23" s="9" t="s">
        <v>729</v>
      </c>
      <c r="I23" s="10"/>
      <c r="J23" s="11" t="s">
        <v>730</v>
      </c>
      <c r="K23" s="12"/>
      <c r="L23" s="9" t="s">
        <v>731</v>
      </c>
      <c r="M23" s="10"/>
      <c r="N23" s="11" t="s">
        <v>734</v>
      </c>
      <c r="O23" s="12"/>
      <c r="P23" s="9" t="s">
        <v>899</v>
      </c>
      <c r="Q23" s="10"/>
      <c r="R23" s="9" t="s">
        <v>900</v>
      </c>
      <c r="S23" s="10"/>
      <c r="T23" s="9" t="s">
        <v>901</v>
      </c>
      <c r="U23" s="10">
        <v>5</v>
      </c>
      <c r="V23" s="9"/>
      <c r="W23" s="12"/>
      <c r="X23" s="53">
        <f t="shared" si="0"/>
        <v>5</v>
      </c>
    </row>
    <row r="24" spans="1:24" x14ac:dyDescent="0.25">
      <c r="A24" s="6">
        <v>77</v>
      </c>
      <c r="B24" s="7" t="s">
        <v>131</v>
      </c>
      <c r="C24" s="8" t="s">
        <v>417</v>
      </c>
      <c r="D24" s="9" t="s">
        <v>418</v>
      </c>
      <c r="E24" s="10"/>
      <c r="F24" s="11" t="s">
        <v>346</v>
      </c>
      <c r="G24" s="12"/>
      <c r="H24" s="9" t="s">
        <v>506</v>
      </c>
      <c r="I24" s="10"/>
      <c r="J24" s="11" t="s">
        <v>732</v>
      </c>
      <c r="K24" s="12"/>
      <c r="L24" s="9" t="s">
        <v>141</v>
      </c>
      <c r="M24" s="10"/>
      <c r="N24" s="11" t="s">
        <v>733</v>
      </c>
      <c r="O24" s="12"/>
      <c r="P24" s="9" t="s">
        <v>902</v>
      </c>
      <c r="Q24" s="10"/>
      <c r="R24" s="9" t="s">
        <v>903</v>
      </c>
      <c r="S24" s="10"/>
      <c r="T24" s="9" t="s">
        <v>904</v>
      </c>
      <c r="U24" s="10"/>
      <c r="V24" s="9"/>
      <c r="W24" s="12"/>
      <c r="X24" s="53">
        <f t="shared" si="0"/>
        <v>0</v>
      </c>
    </row>
    <row r="25" spans="1:24" x14ac:dyDescent="0.25">
      <c r="A25" s="6">
        <v>78</v>
      </c>
      <c r="B25" s="7" t="s">
        <v>1003</v>
      </c>
      <c r="C25" s="8" t="s">
        <v>1004</v>
      </c>
      <c r="D25" s="9" t="s">
        <v>1005</v>
      </c>
      <c r="E25" s="10">
        <v>8</v>
      </c>
      <c r="F25" s="11" t="s">
        <v>1006</v>
      </c>
      <c r="G25" s="12">
        <v>7</v>
      </c>
      <c r="H25" s="9" t="s">
        <v>1007</v>
      </c>
      <c r="I25" s="10">
        <f>8+7+8</f>
        <v>23</v>
      </c>
      <c r="J25" s="11" t="s">
        <v>262</v>
      </c>
      <c r="K25" s="12">
        <f>8+8+7</f>
        <v>23</v>
      </c>
      <c r="L25" s="9" t="s">
        <v>1008</v>
      </c>
      <c r="M25" s="10">
        <f>7+7+5</f>
        <v>19</v>
      </c>
      <c r="N25" s="11" t="s">
        <v>1009</v>
      </c>
      <c r="O25" s="12"/>
      <c r="P25" s="9" t="s">
        <v>1010</v>
      </c>
      <c r="Q25" s="10">
        <f>7+6+5</f>
        <v>18</v>
      </c>
      <c r="R25" s="9" t="s">
        <v>449</v>
      </c>
      <c r="S25" s="10">
        <f>7+8+6</f>
        <v>21</v>
      </c>
      <c r="T25" s="9" t="s">
        <v>1011</v>
      </c>
      <c r="U25" s="10">
        <v>5</v>
      </c>
      <c r="V25" s="9" t="s">
        <v>1012</v>
      </c>
      <c r="W25" s="12"/>
      <c r="X25" s="53">
        <f t="shared" si="0"/>
        <v>124</v>
      </c>
    </row>
    <row r="26" spans="1:24" x14ac:dyDescent="0.25">
      <c r="A26" s="6">
        <v>84</v>
      </c>
      <c r="B26" s="7" t="s">
        <v>567</v>
      </c>
      <c r="C26" s="8" t="s">
        <v>792</v>
      </c>
      <c r="D26" s="9" t="s">
        <v>793</v>
      </c>
      <c r="E26" s="10"/>
      <c r="F26" s="11" t="s">
        <v>794</v>
      </c>
      <c r="G26" s="12">
        <v>5</v>
      </c>
      <c r="H26" s="9" t="s">
        <v>795</v>
      </c>
      <c r="I26" s="10">
        <v>6</v>
      </c>
      <c r="J26" s="11" t="s">
        <v>796</v>
      </c>
      <c r="K26" s="12">
        <v>5</v>
      </c>
      <c r="L26" s="9" t="s">
        <v>797</v>
      </c>
      <c r="M26" s="10"/>
      <c r="N26" s="11" t="s">
        <v>798</v>
      </c>
      <c r="O26" s="12"/>
      <c r="P26" s="9"/>
      <c r="Q26" s="10"/>
      <c r="R26" s="9"/>
      <c r="S26" s="10"/>
      <c r="T26" s="9"/>
      <c r="U26" s="10"/>
      <c r="V26" s="9"/>
      <c r="W26" s="12"/>
      <c r="X26" s="53">
        <f t="shared" si="0"/>
        <v>16</v>
      </c>
    </row>
    <row r="27" spans="1:24" x14ac:dyDescent="0.25">
      <c r="A27" s="6">
        <v>85</v>
      </c>
      <c r="B27" s="7" t="s">
        <v>855</v>
      </c>
      <c r="C27" s="8" t="s">
        <v>856</v>
      </c>
      <c r="D27" s="9" t="s">
        <v>857</v>
      </c>
      <c r="E27" s="10">
        <f>7+9+5+8</f>
        <v>29</v>
      </c>
      <c r="F27" s="11" t="s">
        <v>749</v>
      </c>
      <c r="G27" s="12">
        <f>7+8+7+8</f>
        <v>30</v>
      </c>
      <c r="H27" s="9" t="s">
        <v>858</v>
      </c>
      <c r="I27" s="10"/>
      <c r="J27" s="11" t="s">
        <v>859</v>
      </c>
      <c r="K27" s="12">
        <v>7</v>
      </c>
      <c r="L27" s="9" t="s">
        <v>860</v>
      </c>
      <c r="M27" s="10"/>
      <c r="N27" s="11" t="s">
        <v>861</v>
      </c>
      <c r="O27" s="12">
        <f>4+8</f>
        <v>12</v>
      </c>
      <c r="P27" s="9" t="s">
        <v>862</v>
      </c>
      <c r="Q27" s="10">
        <f>6+5</f>
        <v>11</v>
      </c>
      <c r="R27" s="9" t="s">
        <v>863</v>
      </c>
      <c r="S27" s="10"/>
      <c r="T27" s="9" t="s">
        <v>864</v>
      </c>
      <c r="U27" s="10">
        <v>7</v>
      </c>
      <c r="V27" s="9" t="s">
        <v>865</v>
      </c>
      <c r="W27" s="12">
        <f>7+6+8</f>
        <v>21</v>
      </c>
      <c r="X27" s="53">
        <f t="shared" si="0"/>
        <v>117</v>
      </c>
    </row>
    <row r="28" spans="1:24" x14ac:dyDescent="0.25">
      <c r="A28" s="6">
        <v>86</v>
      </c>
      <c r="B28" s="7" t="s">
        <v>56</v>
      </c>
      <c r="C28" s="8" t="s">
        <v>57</v>
      </c>
      <c r="D28" s="9" t="s">
        <v>58</v>
      </c>
      <c r="E28" s="10"/>
      <c r="F28" s="11" t="s">
        <v>59</v>
      </c>
      <c r="G28" s="12"/>
      <c r="H28" s="9" t="s">
        <v>60</v>
      </c>
      <c r="I28" s="10"/>
      <c r="J28" s="11" t="s">
        <v>61</v>
      </c>
      <c r="K28" s="12">
        <v>6</v>
      </c>
      <c r="L28" s="9" t="s">
        <v>62</v>
      </c>
      <c r="M28" s="10"/>
      <c r="N28" s="11" t="s">
        <v>63</v>
      </c>
      <c r="O28" s="12">
        <v>6</v>
      </c>
      <c r="P28" s="9" t="s">
        <v>64</v>
      </c>
      <c r="Q28" s="10">
        <v>5</v>
      </c>
      <c r="R28" s="9"/>
      <c r="S28" s="10"/>
      <c r="T28" s="9"/>
      <c r="U28" s="10"/>
      <c r="V28" s="9"/>
      <c r="W28" s="12"/>
      <c r="X28" s="53">
        <f t="shared" si="0"/>
        <v>17</v>
      </c>
    </row>
    <row r="29" spans="1:24" x14ac:dyDescent="0.25">
      <c r="A29" s="6">
        <v>87</v>
      </c>
      <c r="B29" s="7" t="s">
        <v>65</v>
      </c>
      <c r="C29" s="8" t="s">
        <v>66</v>
      </c>
      <c r="D29" s="9" t="s">
        <v>67</v>
      </c>
      <c r="E29" s="10">
        <v>6</v>
      </c>
      <c r="F29" s="11" t="s">
        <v>68</v>
      </c>
      <c r="G29" s="12">
        <v>4</v>
      </c>
      <c r="H29" s="9" t="s">
        <v>69</v>
      </c>
      <c r="I29" s="10"/>
      <c r="J29" s="11" t="s">
        <v>70</v>
      </c>
      <c r="K29" s="12"/>
      <c r="L29" s="9" t="s">
        <v>71</v>
      </c>
      <c r="M29" s="10">
        <v>5</v>
      </c>
      <c r="N29" s="11" t="s">
        <v>72</v>
      </c>
      <c r="O29" s="12"/>
      <c r="P29" s="9" t="s">
        <v>73</v>
      </c>
      <c r="Q29" s="10"/>
      <c r="R29" s="9"/>
      <c r="S29" s="10"/>
      <c r="T29" s="9"/>
      <c r="U29" s="10"/>
      <c r="V29" s="9"/>
      <c r="W29" s="12"/>
      <c r="X29" s="53">
        <f t="shared" si="0"/>
        <v>15</v>
      </c>
    </row>
    <row r="30" spans="1:24" x14ac:dyDescent="0.25">
      <c r="A30" s="6">
        <v>90</v>
      </c>
      <c r="B30" s="7" t="s">
        <v>94</v>
      </c>
      <c r="C30" s="8" t="s">
        <v>472</v>
      </c>
      <c r="D30" s="9" t="s">
        <v>78</v>
      </c>
      <c r="E30" s="10"/>
      <c r="F30" s="11" t="s">
        <v>474</v>
      </c>
      <c r="G30" s="12">
        <v>5</v>
      </c>
      <c r="H30" s="9" t="s">
        <v>475</v>
      </c>
      <c r="I30" s="10">
        <f>9+9+8+7</f>
        <v>33</v>
      </c>
      <c r="J30" s="11" t="s">
        <v>476</v>
      </c>
      <c r="K30" s="12">
        <f>7+9+6+8+7</f>
        <v>37</v>
      </c>
      <c r="L30" s="9" t="s">
        <v>477</v>
      </c>
      <c r="M30" s="10">
        <f>6+4+5</f>
        <v>15</v>
      </c>
      <c r="N30" s="11" t="s">
        <v>478</v>
      </c>
      <c r="O30" s="12"/>
      <c r="P30" s="9" t="s">
        <v>479</v>
      </c>
      <c r="Q30" s="10">
        <f>7+7+8</f>
        <v>22</v>
      </c>
      <c r="R30" s="9" t="s">
        <v>81</v>
      </c>
      <c r="S30" s="10"/>
      <c r="T30" s="9" t="s">
        <v>480</v>
      </c>
      <c r="U30" s="10">
        <v>8</v>
      </c>
      <c r="V30" s="9" t="s">
        <v>481</v>
      </c>
      <c r="W30" s="12">
        <f>8+6+9+7+8</f>
        <v>38</v>
      </c>
      <c r="X30" s="53">
        <f t="shared" si="0"/>
        <v>158</v>
      </c>
    </row>
    <row r="31" spans="1:24" x14ac:dyDescent="0.25">
      <c r="A31" s="6">
        <v>97</v>
      </c>
      <c r="B31" s="7" t="s">
        <v>313</v>
      </c>
      <c r="C31" s="8" t="s">
        <v>774</v>
      </c>
      <c r="D31" s="9" t="s">
        <v>775</v>
      </c>
      <c r="E31" s="10"/>
      <c r="F31" s="11" t="s">
        <v>776</v>
      </c>
      <c r="G31" s="12"/>
      <c r="H31" s="9" t="s">
        <v>893</v>
      </c>
      <c r="I31" s="10"/>
      <c r="J31" s="11" t="s">
        <v>894</v>
      </c>
      <c r="K31" s="12"/>
      <c r="L31" s="9" t="s">
        <v>895</v>
      </c>
      <c r="M31" s="10"/>
      <c r="N31" s="11" t="s">
        <v>896</v>
      </c>
      <c r="O31" s="12"/>
      <c r="P31" s="9"/>
      <c r="Q31" s="10"/>
      <c r="R31" s="9"/>
      <c r="S31" s="10"/>
      <c r="T31" s="9"/>
      <c r="U31" s="10"/>
      <c r="V31" s="9"/>
      <c r="W31" s="12"/>
      <c r="X31" s="53">
        <f t="shared" si="0"/>
        <v>0</v>
      </c>
    </row>
    <row r="32" spans="1:24" x14ac:dyDescent="0.25">
      <c r="A32" s="6">
        <v>99</v>
      </c>
      <c r="B32" s="7" t="s">
        <v>324</v>
      </c>
      <c r="C32" s="8" t="s">
        <v>230</v>
      </c>
      <c r="D32" s="9" t="s">
        <v>394</v>
      </c>
      <c r="E32" s="10"/>
      <c r="F32" s="11" t="s">
        <v>352</v>
      </c>
      <c r="G32" s="12">
        <f>7+5</f>
        <v>12</v>
      </c>
      <c r="H32" s="9" t="s">
        <v>395</v>
      </c>
      <c r="I32" s="10">
        <v>5</v>
      </c>
      <c r="J32" s="11" t="s">
        <v>402</v>
      </c>
      <c r="K32" s="12">
        <v>5</v>
      </c>
      <c r="L32" s="9" t="s">
        <v>396</v>
      </c>
      <c r="M32" s="10"/>
      <c r="N32" s="11" t="s">
        <v>397</v>
      </c>
      <c r="O32" s="12"/>
      <c r="P32" s="9" t="s">
        <v>398</v>
      </c>
      <c r="Q32" s="10"/>
      <c r="R32" s="9" t="s">
        <v>399</v>
      </c>
      <c r="S32" s="10"/>
      <c r="T32" s="9" t="s">
        <v>400</v>
      </c>
      <c r="U32" s="10"/>
      <c r="V32" s="9" t="s">
        <v>401</v>
      </c>
      <c r="W32" s="12">
        <v>6</v>
      </c>
      <c r="X32" s="53">
        <f t="shared" si="0"/>
        <v>28</v>
      </c>
    </row>
    <row r="33" spans="1:24" x14ac:dyDescent="0.25">
      <c r="A33" s="6">
        <v>101</v>
      </c>
      <c r="B33" s="7" t="s">
        <v>129</v>
      </c>
      <c r="C33" s="8" t="s">
        <v>1372</v>
      </c>
      <c r="D33" s="9" t="s">
        <v>215</v>
      </c>
      <c r="E33" s="10"/>
      <c r="F33" s="11" t="s">
        <v>1373</v>
      </c>
      <c r="G33" s="12"/>
      <c r="H33" s="9" t="s">
        <v>1374</v>
      </c>
      <c r="I33" s="10">
        <f>8+7+7</f>
        <v>22</v>
      </c>
      <c r="J33" s="11" t="s">
        <v>459</v>
      </c>
      <c r="K33" s="12"/>
      <c r="L33" s="9" t="s">
        <v>1074</v>
      </c>
      <c r="M33" s="10"/>
      <c r="N33" s="11" t="s">
        <v>278</v>
      </c>
      <c r="O33" s="12"/>
      <c r="P33" s="9" t="s">
        <v>1099</v>
      </c>
      <c r="Q33" s="10">
        <v>6</v>
      </c>
      <c r="R33" s="9" t="s">
        <v>1375</v>
      </c>
      <c r="S33" s="10"/>
      <c r="T33" s="9" t="s">
        <v>1376</v>
      </c>
      <c r="U33" s="10"/>
      <c r="V33" s="9" t="s">
        <v>1377</v>
      </c>
      <c r="W33" s="12"/>
      <c r="X33" s="53">
        <f t="shared" si="0"/>
        <v>28</v>
      </c>
    </row>
    <row r="34" spans="1:24" x14ac:dyDescent="0.25">
      <c r="A34" s="6">
        <v>102</v>
      </c>
      <c r="B34" s="7" t="s">
        <v>127</v>
      </c>
      <c r="C34" s="8" t="s">
        <v>1378</v>
      </c>
      <c r="D34" s="9" t="s">
        <v>1379</v>
      </c>
      <c r="E34" s="10"/>
      <c r="F34" s="11" t="s">
        <v>1380</v>
      </c>
      <c r="G34" s="12">
        <v>4</v>
      </c>
      <c r="H34" s="9" t="s">
        <v>1381</v>
      </c>
      <c r="I34" s="10"/>
      <c r="J34" s="11" t="s">
        <v>1382</v>
      </c>
      <c r="K34" s="12"/>
      <c r="L34" s="9" t="s">
        <v>1383</v>
      </c>
      <c r="M34" s="10"/>
      <c r="N34" s="11" t="s">
        <v>1384</v>
      </c>
      <c r="O34" s="12"/>
      <c r="P34" s="9" t="s">
        <v>1385</v>
      </c>
      <c r="Q34" s="10"/>
      <c r="R34" s="9"/>
      <c r="S34" s="10"/>
      <c r="T34" s="9"/>
      <c r="U34" s="10"/>
      <c r="V34" s="9"/>
      <c r="W34" s="12"/>
      <c r="X34" s="53">
        <f t="shared" si="0"/>
        <v>4</v>
      </c>
    </row>
    <row r="35" spans="1:24" x14ac:dyDescent="0.25">
      <c r="A35" s="6">
        <v>103</v>
      </c>
      <c r="B35" s="7" t="s">
        <v>265</v>
      </c>
      <c r="C35" s="8" t="s">
        <v>295</v>
      </c>
      <c r="D35" s="9" t="s">
        <v>296</v>
      </c>
      <c r="E35" s="10"/>
      <c r="F35" s="11" t="s">
        <v>297</v>
      </c>
      <c r="G35" s="12"/>
      <c r="H35" s="9" t="s">
        <v>298</v>
      </c>
      <c r="I35" s="10"/>
      <c r="J35" s="11" t="s">
        <v>299</v>
      </c>
      <c r="K35" s="12">
        <v>6</v>
      </c>
      <c r="L35" s="9" t="s">
        <v>300</v>
      </c>
      <c r="M35" s="10">
        <v>5</v>
      </c>
      <c r="N35" s="11" t="s">
        <v>301</v>
      </c>
      <c r="O35" s="12"/>
      <c r="P35" s="9" t="s">
        <v>302</v>
      </c>
      <c r="Q35" s="10">
        <v>6</v>
      </c>
      <c r="R35" s="9" t="s">
        <v>303</v>
      </c>
      <c r="S35" s="10"/>
      <c r="T35" s="9"/>
      <c r="U35" s="10"/>
      <c r="V35" s="9"/>
      <c r="W35" s="12"/>
      <c r="X35" s="53">
        <f t="shared" si="0"/>
        <v>17</v>
      </c>
    </row>
    <row r="36" spans="1:24" x14ac:dyDescent="0.25">
      <c r="A36" s="6">
        <v>104</v>
      </c>
      <c r="B36" s="7" t="s">
        <v>275</v>
      </c>
      <c r="C36" s="8" t="s">
        <v>285</v>
      </c>
      <c r="D36" s="9" t="s">
        <v>286</v>
      </c>
      <c r="E36" s="10">
        <v>4</v>
      </c>
      <c r="F36" s="11" t="s">
        <v>287</v>
      </c>
      <c r="G36" s="12">
        <v>5</v>
      </c>
      <c r="H36" s="9" t="s">
        <v>288</v>
      </c>
      <c r="I36" s="10"/>
      <c r="J36" s="11" t="s">
        <v>289</v>
      </c>
      <c r="K36" s="12">
        <v>3</v>
      </c>
      <c r="L36" s="9" t="s">
        <v>290</v>
      </c>
      <c r="M36" s="10"/>
      <c r="N36" s="11" t="s">
        <v>291</v>
      </c>
      <c r="O36" s="12"/>
      <c r="P36" s="9" t="s">
        <v>292</v>
      </c>
      <c r="Q36" s="10"/>
      <c r="R36" s="9" t="s">
        <v>293</v>
      </c>
      <c r="S36" s="10"/>
      <c r="T36" s="9" t="s">
        <v>294</v>
      </c>
      <c r="U36" s="10">
        <f>8+2</f>
        <v>10</v>
      </c>
      <c r="V36" s="9"/>
      <c r="W36" s="12"/>
      <c r="X36" s="53">
        <f t="shared" si="0"/>
        <v>22</v>
      </c>
    </row>
    <row r="37" spans="1:24" x14ac:dyDescent="0.25">
      <c r="A37" s="6">
        <v>108</v>
      </c>
      <c r="B37" s="7" t="s">
        <v>176</v>
      </c>
      <c r="C37" s="8" t="s">
        <v>1128</v>
      </c>
      <c r="D37" s="9" t="s">
        <v>1129</v>
      </c>
      <c r="E37" s="10"/>
      <c r="F37" s="11" t="s">
        <v>869</v>
      </c>
      <c r="G37" s="12"/>
      <c r="H37" s="9" t="s">
        <v>1130</v>
      </c>
      <c r="I37" s="10">
        <v>8</v>
      </c>
      <c r="J37" s="11" t="s">
        <v>1131</v>
      </c>
      <c r="K37" s="12">
        <f>6+9+7</f>
        <v>22</v>
      </c>
      <c r="L37" s="9" t="s">
        <v>1132</v>
      </c>
      <c r="M37" s="10"/>
      <c r="N37" s="11" t="s">
        <v>1012</v>
      </c>
      <c r="O37" s="12">
        <f>8+5</f>
        <v>13</v>
      </c>
      <c r="P37" s="9" t="s">
        <v>672</v>
      </c>
      <c r="Q37" s="10"/>
      <c r="R37" s="9" t="s">
        <v>1133</v>
      </c>
      <c r="S37" s="10">
        <f>10+7+10</f>
        <v>27</v>
      </c>
      <c r="T37" s="9" t="s">
        <v>1134</v>
      </c>
      <c r="U37" s="10">
        <v>9</v>
      </c>
      <c r="V37" s="9" t="s">
        <v>1135</v>
      </c>
      <c r="W37" s="12">
        <f>7+10+7+6</f>
        <v>30</v>
      </c>
      <c r="X37" s="53">
        <f t="shared" si="0"/>
        <v>109</v>
      </c>
    </row>
    <row r="38" spans="1:24" x14ac:dyDescent="0.25">
      <c r="A38" s="6">
        <v>113</v>
      </c>
      <c r="B38" s="7" t="s">
        <v>260</v>
      </c>
      <c r="C38" s="8" t="s">
        <v>941</v>
      </c>
      <c r="D38" s="9" t="s">
        <v>942</v>
      </c>
      <c r="E38" s="10">
        <v>8</v>
      </c>
      <c r="F38" s="11" t="s">
        <v>943</v>
      </c>
      <c r="G38" s="12"/>
      <c r="H38" s="9" t="s">
        <v>944</v>
      </c>
      <c r="I38" s="10"/>
      <c r="J38" s="11" t="s">
        <v>687</v>
      </c>
      <c r="K38" s="12">
        <v>4</v>
      </c>
      <c r="L38" s="9" t="s">
        <v>81</v>
      </c>
      <c r="M38" s="10">
        <v>3</v>
      </c>
      <c r="N38" s="11" t="s">
        <v>945</v>
      </c>
      <c r="O38" s="12">
        <f>5+5+5</f>
        <v>15</v>
      </c>
      <c r="P38" s="9" t="s">
        <v>946</v>
      </c>
      <c r="Q38" s="10"/>
      <c r="R38" s="9" t="s">
        <v>947</v>
      </c>
      <c r="S38" s="10"/>
      <c r="T38" s="9" t="s">
        <v>312</v>
      </c>
      <c r="U38" s="10">
        <v>6</v>
      </c>
      <c r="V38" s="9" t="s">
        <v>948</v>
      </c>
      <c r="W38" s="12"/>
      <c r="X38" s="53">
        <f t="shared" si="0"/>
        <v>36</v>
      </c>
    </row>
    <row r="39" spans="1:24" x14ac:dyDescent="0.25">
      <c r="A39" s="6">
        <v>114</v>
      </c>
      <c r="B39" s="7" t="s">
        <v>240</v>
      </c>
      <c r="C39" s="8" t="s">
        <v>241</v>
      </c>
      <c r="D39" s="9" t="s">
        <v>242</v>
      </c>
      <c r="E39" s="10">
        <v>6</v>
      </c>
      <c r="F39" s="11" t="s">
        <v>243</v>
      </c>
      <c r="G39" s="12"/>
      <c r="H39" s="9" t="s">
        <v>244</v>
      </c>
      <c r="I39" s="10"/>
      <c r="J39" s="11" t="s">
        <v>245</v>
      </c>
      <c r="K39" s="12"/>
      <c r="L39" s="9" t="s">
        <v>246</v>
      </c>
      <c r="M39" s="10"/>
      <c r="N39" s="11" t="s">
        <v>247</v>
      </c>
      <c r="O39" s="12">
        <v>5</v>
      </c>
      <c r="P39" s="9" t="s">
        <v>248</v>
      </c>
      <c r="Q39" s="10"/>
      <c r="R39" s="9" t="s">
        <v>249</v>
      </c>
      <c r="S39" s="10"/>
      <c r="T39" s="9" t="s">
        <v>250</v>
      </c>
      <c r="U39" s="10">
        <v>5</v>
      </c>
      <c r="V39" s="9" t="s">
        <v>251</v>
      </c>
      <c r="W39" s="12"/>
      <c r="X39" s="53">
        <f t="shared" si="0"/>
        <v>16</v>
      </c>
    </row>
    <row r="40" spans="1:24" x14ac:dyDescent="0.25">
      <c r="A40" s="6">
        <v>116</v>
      </c>
      <c r="B40" s="7" t="s">
        <v>336</v>
      </c>
      <c r="C40" s="8" t="s">
        <v>918</v>
      </c>
      <c r="D40" s="9" t="s">
        <v>1255</v>
      </c>
      <c r="E40" s="10">
        <f>8+6</f>
        <v>14</v>
      </c>
      <c r="F40" s="11" t="s">
        <v>1256</v>
      </c>
      <c r="G40" s="12"/>
      <c r="H40" s="9" t="s">
        <v>1257</v>
      </c>
      <c r="I40" s="10">
        <f>5+8</f>
        <v>13</v>
      </c>
      <c r="J40" s="11" t="s">
        <v>1258</v>
      </c>
      <c r="K40" s="12">
        <v>6</v>
      </c>
      <c r="L40" s="9" t="s">
        <v>1259</v>
      </c>
      <c r="M40" s="10">
        <v>6</v>
      </c>
      <c r="N40" s="11" t="s">
        <v>1260</v>
      </c>
      <c r="O40" s="12">
        <f>9+8+7</f>
        <v>24</v>
      </c>
      <c r="P40" s="9" t="s">
        <v>1261</v>
      </c>
      <c r="Q40" s="10">
        <f>8+9+5+7+8+9</f>
        <v>46</v>
      </c>
      <c r="R40" s="9" t="s">
        <v>1262</v>
      </c>
      <c r="S40" s="10"/>
      <c r="T40" s="9" t="s">
        <v>1263</v>
      </c>
      <c r="U40" s="10"/>
      <c r="V40" s="9" t="s">
        <v>1264</v>
      </c>
      <c r="W40" s="12">
        <f>8+6</f>
        <v>14</v>
      </c>
      <c r="X40" s="53">
        <f t="shared" si="0"/>
        <v>123</v>
      </c>
    </row>
    <row r="41" spans="1:24" x14ac:dyDescent="0.25">
      <c r="A41" s="6">
        <v>118</v>
      </c>
      <c r="B41" s="7" t="s">
        <v>963</v>
      </c>
      <c r="C41" s="8" t="s">
        <v>964</v>
      </c>
      <c r="D41" s="9" t="s">
        <v>965</v>
      </c>
      <c r="E41" s="10"/>
      <c r="F41" s="11" t="s">
        <v>966</v>
      </c>
      <c r="G41" s="12">
        <v>3</v>
      </c>
      <c r="H41" s="9" t="s">
        <v>994</v>
      </c>
      <c r="I41" s="10">
        <v>3</v>
      </c>
      <c r="J41" s="11" t="s">
        <v>995</v>
      </c>
      <c r="K41" s="12">
        <f>4+5</f>
        <v>9</v>
      </c>
      <c r="L41" s="9" t="s">
        <v>996</v>
      </c>
      <c r="M41" s="10"/>
      <c r="N41" s="11" t="s">
        <v>997</v>
      </c>
      <c r="O41" s="12">
        <f>6+5</f>
        <v>11</v>
      </c>
      <c r="P41" s="9" t="s">
        <v>998</v>
      </c>
      <c r="Q41" s="10">
        <v>6</v>
      </c>
      <c r="R41" s="9" t="s">
        <v>999</v>
      </c>
      <c r="S41" s="10">
        <v>5</v>
      </c>
      <c r="T41" s="9"/>
      <c r="U41" s="10"/>
      <c r="V41" s="9"/>
      <c r="W41" s="12"/>
      <c r="X41" s="53">
        <f t="shared" si="0"/>
        <v>37</v>
      </c>
    </row>
    <row r="42" spans="1:24" x14ac:dyDescent="0.25">
      <c r="A42" s="6">
        <v>120</v>
      </c>
      <c r="B42" s="7" t="s">
        <v>613</v>
      </c>
      <c r="C42" s="8" t="s">
        <v>614</v>
      </c>
      <c r="D42" s="9" t="s">
        <v>615</v>
      </c>
      <c r="E42" s="10">
        <v>4</v>
      </c>
      <c r="F42" s="11"/>
      <c r="G42" s="12"/>
      <c r="H42" s="9"/>
      <c r="I42" s="10"/>
      <c r="J42" s="11"/>
      <c r="K42" s="12"/>
      <c r="L42" s="9"/>
      <c r="M42" s="10"/>
      <c r="N42" s="11"/>
      <c r="O42" s="12"/>
      <c r="P42" s="9"/>
      <c r="Q42" s="10"/>
      <c r="R42" s="9"/>
      <c r="S42" s="10"/>
      <c r="T42" s="9"/>
      <c r="U42" s="10"/>
      <c r="V42" s="9"/>
      <c r="W42" s="12"/>
      <c r="X42" s="53">
        <f t="shared" si="0"/>
        <v>4</v>
      </c>
    </row>
    <row r="43" spans="1:24" x14ac:dyDescent="0.25">
      <c r="A43" s="6">
        <v>121</v>
      </c>
      <c r="B43" s="7" t="s">
        <v>131</v>
      </c>
      <c r="C43" s="8" t="s">
        <v>616</v>
      </c>
      <c r="D43" s="9" t="s">
        <v>617</v>
      </c>
      <c r="E43" s="10"/>
      <c r="F43" s="11" t="s">
        <v>618</v>
      </c>
      <c r="G43" s="12"/>
      <c r="H43" s="9" t="s">
        <v>619</v>
      </c>
      <c r="I43" s="10"/>
      <c r="J43" s="11" t="s">
        <v>81</v>
      </c>
      <c r="K43" s="12"/>
      <c r="L43" s="9"/>
      <c r="M43" s="10"/>
      <c r="N43" s="11"/>
      <c r="O43" s="12"/>
      <c r="P43" s="9"/>
      <c r="Q43" s="10"/>
      <c r="R43" s="9"/>
      <c r="S43" s="10"/>
      <c r="T43" s="9"/>
      <c r="U43" s="10"/>
      <c r="V43" s="9"/>
      <c r="W43" s="12"/>
      <c r="X43" s="53">
        <f t="shared" si="0"/>
        <v>0</v>
      </c>
    </row>
    <row r="44" spans="1:24" x14ac:dyDescent="0.25">
      <c r="A44" s="6">
        <v>122</v>
      </c>
      <c r="B44" s="7" t="s">
        <v>421</v>
      </c>
      <c r="C44" s="8" t="s">
        <v>602</v>
      </c>
      <c r="D44" s="9" t="s">
        <v>603</v>
      </c>
      <c r="E44" s="10">
        <f>5+5</f>
        <v>10</v>
      </c>
      <c r="F44" s="11" t="s">
        <v>604</v>
      </c>
      <c r="G44" s="12"/>
      <c r="H44" s="9" t="s">
        <v>41</v>
      </c>
      <c r="I44" s="10"/>
      <c r="J44" s="11" t="s">
        <v>605</v>
      </c>
      <c r="K44" s="12">
        <v>5</v>
      </c>
      <c r="L44" s="9"/>
      <c r="M44" s="10"/>
      <c r="N44" s="11"/>
      <c r="O44" s="12"/>
      <c r="P44" s="9"/>
      <c r="Q44" s="10"/>
      <c r="R44" s="9"/>
      <c r="S44" s="10"/>
      <c r="T44" s="9"/>
      <c r="U44" s="10"/>
      <c r="V44" s="9"/>
      <c r="W44" s="12"/>
      <c r="X44" s="53">
        <f t="shared" si="0"/>
        <v>15</v>
      </c>
    </row>
    <row r="45" spans="1:24" x14ac:dyDescent="0.25">
      <c r="A45" s="6">
        <v>123</v>
      </c>
      <c r="B45" s="7" t="s">
        <v>50</v>
      </c>
      <c r="C45" s="8" t="s">
        <v>620</v>
      </c>
      <c r="D45" s="9" t="s">
        <v>621</v>
      </c>
      <c r="E45" s="10">
        <v>3</v>
      </c>
      <c r="F45" s="11" t="s">
        <v>622</v>
      </c>
      <c r="G45" s="12">
        <v>3</v>
      </c>
      <c r="H45" s="9"/>
      <c r="I45" s="10"/>
      <c r="J45" s="11"/>
      <c r="K45" s="12"/>
      <c r="L45" s="9"/>
      <c r="M45" s="10"/>
      <c r="N45" s="11"/>
      <c r="O45" s="12"/>
      <c r="P45" s="9"/>
      <c r="Q45" s="10"/>
      <c r="R45" s="9"/>
      <c r="S45" s="10"/>
      <c r="T45" s="9"/>
      <c r="U45" s="10"/>
      <c r="V45" s="9"/>
      <c r="W45" s="12"/>
      <c r="X45" s="53">
        <f t="shared" si="0"/>
        <v>6</v>
      </c>
    </row>
    <row r="46" spans="1:24" x14ac:dyDescent="0.25">
      <c r="A46" s="6">
        <v>126</v>
      </c>
      <c r="B46" s="7" t="s">
        <v>50</v>
      </c>
      <c r="C46" s="8" t="s">
        <v>51</v>
      </c>
      <c r="D46" s="9" t="s">
        <v>52</v>
      </c>
      <c r="E46" s="10"/>
      <c r="F46" s="11"/>
      <c r="G46" s="12"/>
      <c r="H46" s="9"/>
      <c r="I46" s="10"/>
      <c r="J46" s="11"/>
      <c r="K46" s="12"/>
      <c r="L46" s="9"/>
      <c r="M46" s="10"/>
      <c r="N46" s="11"/>
      <c r="O46" s="12"/>
      <c r="P46" s="9"/>
      <c r="Q46" s="10"/>
      <c r="R46" s="9"/>
      <c r="S46" s="10"/>
      <c r="T46" s="9"/>
      <c r="U46" s="10"/>
      <c r="V46" s="9"/>
      <c r="W46" s="12"/>
      <c r="X46" s="53">
        <f t="shared" si="0"/>
        <v>0</v>
      </c>
    </row>
    <row r="47" spans="1:24" x14ac:dyDescent="0.25">
      <c r="A47" s="6">
        <v>127</v>
      </c>
      <c r="B47" s="7" t="s">
        <v>445</v>
      </c>
      <c r="C47" s="8" t="s">
        <v>685</v>
      </c>
      <c r="D47" s="9" t="s">
        <v>686</v>
      </c>
      <c r="E47" s="10">
        <f>7+8+7</f>
        <v>22</v>
      </c>
      <c r="F47" s="11" t="s">
        <v>687</v>
      </c>
      <c r="G47" s="12">
        <f>6+8+5</f>
        <v>19</v>
      </c>
      <c r="H47" s="9" t="s">
        <v>688</v>
      </c>
      <c r="I47" s="10">
        <f>5+10+5</f>
        <v>20</v>
      </c>
      <c r="J47" s="11" t="s">
        <v>689</v>
      </c>
      <c r="K47" s="12">
        <v>6</v>
      </c>
      <c r="L47" s="9" t="s">
        <v>690</v>
      </c>
      <c r="M47" s="10">
        <v>8</v>
      </c>
      <c r="N47" s="11" t="s">
        <v>691</v>
      </c>
      <c r="O47" s="12"/>
      <c r="P47" s="9" t="s">
        <v>692</v>
      </c>
      <c r="Q47" s="10"/>
      <c r="R47" s="9" t="s">
        <v>693</v>
      </c>
      <c r="S47" s="10"/>
      <c r="T47" s="9" t="s">
        <v>694</v>
      </c>
      <c r="U47" s="10">
        <f>7+9+8</f>
        <v>24</v>
      </c>
      <c r="V47" s="9" t="s">
        <v>695</v>
      </c>
      <c r="W47" s="12">
        <f>9+7+7+6</f>
        <v>29</v>
      </c>
      <c r="X47" s="53">
        <f t="shared" si="0"/>
        <v>128</v>
      </c>
    </row>
    <row r="48" spans="1:24" x14ac:dyDescent="0.25">
      <c r="A48" s="6">
        <v>128</v>
      </c>
      <c r="B48" s="7" t="s">
        <v>696</v>
      </c>
      <c r="C48" s="8" t="s">
        <v>697</v>
      </c>
      <c r="D48" s="9" t="s">
        <v>698</v>
      </c>
      <c r="E48" s="10">
        <v>7</v>
      </c>
      <c r="F48" s="11" t="s">
        <v>626</v>
      </c>
      <c r="G48" s="12">
        <v>5</v>
      </c>
      <c r="H48" s="9" t="s">
        <v>699</v>
      </c>
      <c r="I48" s="10">
        <v>4</v>
      </c>
      <c r="J48" s="11" t="s">
        <v>233</v>
      </c>
      <c r="K48" s="12">
        <f>7+4</f>
        <v>11</v>
      </c>
      <c r="L48" s="9" t="s">
        <v>693</v>
      </c>
      <c r="M48" s="10">
        <v>8</v>
      </c>
      <c r="N48" s="11"/>
      <c r="O48" s="12"/>
      <c r="P48" s="9"/>
      <c r="Q48" s="10"/>
      <c r="R48" s="9"/>
      <c r="S48" s="10"/>
      <c r="T48" s="9"/>
      <c r="U48" s="10"/>
      <c r="V48" s="9"/>
      <c r="W48" s="12"/>
      <c r="X48" s="53">
        <f t="shared" si="0"/>
        <v>35</v>
      </c>
    </row>
    <row r="49" spans="1:24" x14ac:dyDescent="0.25">
      <c r="A49" s="6">
        <v>129</v>
      </c>
      <c r="B49" s="7" t="s">
        <v>465</v>
      </c>
      <c r="C49" s="8" t="s">
        <v>466</v>
      </c>
      <c r="D49" s="9" t="s">
        <v>467</v>
      </c>
      <c r="E49" s="10"/>
      <c r="F49" s="11" t="s">
        <v>468</v>
      </c>
      <c r="G49" s="12"/>
      <c r="H49" s="9" t="s">
        <v>469</v>
      </c>
      <c r="I49" s="10"/>
      <c r="J49" s="11" t="s">
        <v>470</v>
      </c>
      <c r="K49" s="12"/>
      <c r="L49" s="9" t="s">
        <v>471</v>
      </c>
      <c r="M49" s="10"/>
      <c r="N49" s="11"/>
      <c r="O49" s="12"/>
      <c r="P49" s="9"/>
      <c r="Q49" s="10"/>
      <c r="R49" s="9"/>
      <c r="S49" s="10"/>
      <c r="T49" s="9"/>
      <c r="U49" s="10"/>
      <c r="V49" s="9"/>
      <c r="W49" s="12"/>
      <c r="X49" s="53">
        <f t="shared" si="0"/>
        <v>0</v>
      </c>
    </row>
    <row r="50" spans="1:24" x14ac:dyDescent="0.25">
      <c r="A50" s="6">
        <v>130</v>
      </c>
      <c r="B50" s="7" t="s">
        <v>1066</v>
      </c>
      <c r="C50" s="8" t="s">
        <v>1067</v>
      </c>
      <c r="D50" s="9" t="s">
        <v>215</v>
      </c>
      <c r="E50" s="10">
        <v>9</v>
      </c>
      <c r="F50" s="11" t="s">
        <v>457</v>
      </c>
      <c r="G50" s="12"/>
      <c r="H50" s="9" t="s">
        <v>458</v>
      </c>
      <c r="I50" s="10">
        <f>8+6+5</f>
        <v>19</v>
      </c>
      <c r="J50" s="11" t="s">
        <v>459</v>
      </c>
      <c r="K50" s="12"/>
      <c r="L50" s="9" t="s">
        <v>460</v>
      </c>
      <c r="M50" s="10">
        <f>7+6+6+6</f>
        <v>25</v>
      </c>
      <c r="N50" s="11" t="s">
        <v>461</v>
      </c>
      <c r="O50" s="12">
        <f>7+9+7</f>
        <v>23</v>
      </c>
      <c r="P50" s="9" t="s">
        <v>462</v>
      </c>
      <c r="Q50" s="10">
        <f>5+7+9+5+5</f>
        <v>31</v>
      </c>
      <c r="R50" s="9" t="s">
        <v>463</v>
      </c>
      <c r="S50" s="10"/>
      <c r="T50" s="9" t="s">
        <v>464</v>
      </c>
      <c r="U50" s="10">
        <v>7</v>
      </c>
      <c r="V50" s="9" t="s">
        <v>1068</v>
      </c>
      <c r="W50" s="12">
        <f>8+7</f>
        <v>15</v>
      </c>
      <c r="X50" s="53">
        <f t="shared" si="0"/>
        <v>129</v>
      </c>
    </row>
    <row r="51" spans="1:24" x14ac:dyDescent="0.25">
      <c r="A51" s="6">
        <v>131</v>
      </c>
      <c r="B51" s="7" t="s">
        <v>53</v>
      </c>
      <c r="C51" s="8" t="s">
        <v>54</v>
      </c>
      <c r="D51" s="9" t="s">
        <v>55</v>
      </c>
      <c r="E51" s="10"/>
      <c r="F51" s="11"/>
      <c r="G51" s="12"/>
      <c r="H51" s="9"/>
      <c r="I51" s="10"/>
      <c r="J51" s="11"/>
      <c r="K51" s="12"/>
      <c r="L51" s="9"/>
      <c r="M51" s="10"/>
      <c r="N51" s="11"/>
      <c r="O51" s="12"/>
      <c r="P51" s="9"/>
      <c r="Q51" s="10"/>
      <c r="R51" s="9"/>
      <c r="S51" s="10"/>
      <c r="T51" s="9"/>
      <c r="U51" s="10"/>
      <c r="V51" s="9"/>
      <c r="W51" s="12"/>
      <c r="X51" s="53">
        <f t="shared" si="0"/>
        <v>0</v>
      </c>
    </row>
    <row r="52" spans="1:24" x14ac:dyDescent="0.25">
      <c r="A52" s="6">
        <v>132</v>
      </c>
      <c r="B52" s="7" t="s">
        <v>85</v>
      </c>
      <c r="C52" s="8" t="s">
        <v>556</v>
      </c>
      <c r="D52" s="9" t="s">
        <v>557</v>
      </c>
      <c r="E52" s="10"/>
      <c r="F52" s="11" t="s">
        <v>558</v>
      </c>
      <c r="G52" s="12"/>
      <c r="H52" s="9" t="s">
        <v>559</v>
      </c>
      <c r="I52" s="10">
        <v>5</v>
      </c>
      <c r="J52" s="11" t="s">
        <v>560</v>
      </c>
      <c r="K52" s="12">
        <v>6</v>
      </c>
      <c r="L52" s="9" t="s">
        <v>561</v>
      </c>
      <c r="M52" s="10"/>
      <c r="N52" s="11" t="s">
        <v>562</v>
      </c>
      <c r="O52" s="12"/>
      <c r="P52" s="9" t="s">
        <v>563</v>
      </c>
      <c r="Q52" s="10"/>
      <c r="R52" s="9" t="s">
        <v>564</v>
      </c>
      <c r="S52" s="10"/>
      <c r="T52" s="9" t="s">
        <v>565</v>
      </c>
      <c r="U52" s="10">
        <v>5</v>
      </c>
      <c r="V52" s="9" t="s">
        <v>566</v>
      </c>
      <c r="W52" s="12"/>
      <c r="X52" s="53">
        <f t="shared" si="0"/>
        <v>16</v>
      </c>
    </row>
    <row r="53" spans="1:24" x14ac:dyDescent="0.25">
      <c r="A53" s="6">
        <v>134</v>
      </c>
      <c r="B53" s="7" t="s">
        <v>127</v>
      </c>
      <c r="C53" s="8" t="s">
        <v>91</v>
      </c>
      <c r="D53" s="9" t="s">
        <v>128</v>
      </c>
      <c r="E53" s="10"/>
      <c r="F53" s="11"/>
      <c r="G53" s="12"/>
      <c r="H53" s="9"/>
      <c r="I53" s="10"/>
      <c r="J53" s="11"/>
      <c r="K53" s="12"/>
      <c r="L53" s="9"/>
      <c r="M53" s="10"/>
      <c r="N53" s="11"/>
      <c r="O53" s="12"/>
      <c r="P53" s="9"/>
      <c r="Q53" s="10"/>
      <c r="R53" s="9"/>
      <c r="S53" s="10"/>
      <c r="T53" s="9"/>
      <c r="U53" s="10"/>
      <c r="V53" s="9"/>
      <c r="W53" s="12"/>
      <c r="X53" s="53">
        <f t="shared" si="0"/>
        <v>0</v>
      </c>
    </row>
    <row r="54" spans="1:24" x14ac:dyDescent="0.25">
      <c r="A54" s="6">
        <v>135</v>
      </c>
      <c r="B54" s="7" t="s">
        <v>94</v>
      </c>
      <c r="C54" s="8" t="s">
        <v>95</v>
      </c>
      <c r="D54" s="9" t="s">
        <v>96</v>
      </c>
      <c r="E54" s="10">
        <v>5</v>
      </c>
      <c r="F54" s="11" t="s">
        <v>97</v>
      </c>
      <c r="G54" s="12"/>
      <c r="H54" s="9"/>
      <c r="I54" s="10"/>
      <c r="J54" s="11"/>
      <c r="K54" s="12"/>
      <c r="L54" s="9"/>
      <c r="M54" s="10"/>
      <c r="N54" s="9"/>
      <c r="O54" s="12"/>
      <c r="P54" s="9"/>
      <c r="Q54" s="10"/>
      <c r="R54" s="9"/>
      <c r="S54" s="10"/>
      <c r="T54" s="9"/>
      <c r="U54" s="10"/>
      <c r="V54" s="9"/>
      <c r="W54" s="12"/>
      <c r="X54" s="53">
        <f t="shared" si="0"/>
        <v>5</v>
      </c>
    </row>
    <row r="55" spans="1:24" x14ac:dyDescent="0.25">
      <c r="A55" s="6">
        <v>137</v>
      </c>
      <c r="B55" s="7" t="s">
        <v>33</v>
      </c>
      <c r="C55" s="8" t="s">
        <v>34</v>
      </c>
      <c r="D55" s="9" t="s">
        <v>35</v>
      </c>
      <c r="E55" s="10"/>
      <c r="F55" s="11" t="s">
        <v>36</v>
      </c>
      <c r="G55" s="12">
        <v>5</v>
      </c>
      <c r="H55" s="9" t="s">
        <v>37</v>
      </c>
      <c r="I55" s="10"/>
      <c r="J55" s="11" t="s">
        <v>38</v>
      </c>
      <c r="K55" s="12"/>
      <c r="L55" s="9" t="s">
        <v>39</v>
      </c>
      <c r="M55" s="10"/>
      <c r="N55" s="11" t="s">
        <v>40</v>
      </c>
      <c r="O55" s="12"/>
      <c r="P55" s="9" t="s">
        <v>41</v>
      </c>
      <c r="Q55" s="10"/>
      <c r="R55" s="9" t="s">
        <v>42</v>
      </c>
      <c r="S55" s="10">
        <v>4</v>
      </c>
      <c r="T55" s="9" t="s">
        <v>43</v>
      </c>
      <c r="U55" s="10"/>
      <c r="V55" s="9" t="s">
        <v>44</v>
      </c>
      <c r="W55" s="12">
        <v>6</v>
      </c>
      <c r="X55" s="53">
        <f t="shared" si="0"/>
        <v>15</v>
      </c>
    </row>
    <row r="56" spans="1:24" x14ac:dyDescent="0.25">
      <c r="A56" s="6">
        <v>138</v>
      </c>
      <c r="B56" s="7" t="s">
        <v>1335</v>
      </c>
      <c r="C56" s="8" t="s">
        <v>1504</v>
      </c>
      <c r="D56" s="9" t="s">
        <v>215</v>
      </c>
      <c r="E56" s="10">
        <v>5</v>
      </c>
      <c r="F56" s="11"/>
      <c r="G56" s="12"/>
      <c r="H56" s="9"/>
      <c r="I56" s="10"/>
      <c r="J56" s="11"/>
      <c r="K56" s="12"/>
      <c r="L56" s="9"/>
      <c r="M56" s="10"/>
      <c r="N56" s="11"/>
      <c r="O56" s="12"/>
      <c r="P56" s="9"/>
      <c r="Q56" s="10"/>
      <c r="R56" s="9"/>
      <c r="S56" s="10"/>
      <c r="T56" s="9"/>
      <c r="U56" s="10"/>
      <c r="V56" s="9"/>
      <c r="W56" s="12"/>
      <c r="X56" s="53">
        <f t="shared" si="0"/>
        <v>5</v>
      </c>
    </row>
    <row r="57" spans="1:24" x14ac:dyDescent="0.25">
      <c r="A57" s="6">
        <v>142</v>
      </c>
      <c r="B57" s="7" t="s">
        <v>129</v>
      </c>
      <c r="C57" s="8" t="s">
        <v>130</v>
      </c>
      <c r="D57" s="9" t="s">
        <v>135</v>
      </c>
      <c r="E57" s="10"/>
      <c r="F57" s="11" t="s">
        <v>136</v>
      </c>
      <c r="G57" s="12">
        <v>6</v>
      </c>
      <c r="H57" s="9" t="s">
        <v>137</v>
      </c>
      <c r="I57" s="10">
        <v>6</v>
      </c>
      <c r="J57" s="11" t="s">
        <v>138</v>
      </c>
      <c r="K57" s="12"/>
      <c r="L57" s="9"/>
      <c r="M57" s="10"/>
      <c r="N57" s="11"/>
      <c r="O57" s="12"/>
      <c r="P57" s="9"/>
      <c r="Q57" s="10"/>
      <c r="R57" s="9"/>
      <c r="S57" s="10"/>
      <c r="T57" s="9"/>
      <c r="U57" s="10"/>
      <c r="V57" s="9"/>
      <c r="W57" s="12"/>
      <c r="X57" s="53">
        <f t="shared" si="0"/>
        <v>12</v>
      </c>
    </row>
    <row r="58" spans="1:24" x14ac:dyDescent="0.25">
      <c r="A58" s="6">
        <v>144</v>
      </c>
      <c r="B58" s="7" t="s">
        <v>129</v>
      </c>
      <c r="C58" s="8" t="s">
        <v>304</v>
      </c>
      <c r="D58" s="9" t="s">
        <v>305</v>
      </c>
      <c r="E58" s="10"/>
      <c r="F58" s="11" t="s">
        <v>306</v>
      </c>
      <c r="G58" s="12">
        <f>6+8</f>
        <v>14</v>
      </c>
      <c r="H58" s="9" t="s">
        <v>283</v>
      </c>
      <c r="I58" s="10"/>
      <c r="J58" s="11" t="s">
        <v>307</v>
      </c>
      <c r="K58" s="12">
        <f>6+6</f>
        <v>12</v>
      </c>
      <c r="L58" s="9" t="s">
        <v>308</v>
      </c>
      <c r="M58" s="10">
        <f>9+9+6+7</f>
        <v>31</v>
      </c>
      <c r="N58" s="11" t="s">
        <v>309</v>
      </c>
      <c r="O58" s="12">
        <v>7</v>
      </c>
      <c r="P58" s="9" t="s">
        <v>310</v>
      </c>
      <c r="Q58" s="10">
        <v>6</v>
      </c>
      <c r="R58" s="9" t="s">
        <v>40</v>
      </c>
      <c r="S58" s="10">
        <v>5</v>
      </c>
      <c r="T58" s="9" t="s">
        <v>311</v>
      </c>
      <c r="U58" s="10"/>
      <c r="V58" s="9" t="s">
        <v>312</v>
      </c>
      <c r="W58" s="12"/>
      <c r="X58" s="53">
        <f t="shared" si="0"/>
        <v>75</v>
      </c>
    </row>
    <row r="59" spans="1:24" x14ac:dyDescent="0.25">
      <c r="A59" s="6">
        <v>151</v>
      </c>
      <c r="B59" s="7" t="s">
        <v>129</v>
      </c>
      <c r="C59" s="8" t="s">
        <v>1095</v>
      </c>
      <c r="D59" s="9" t="s">
        <v>1096</v>
      </c>
      <c r="E59" s="10"/>
      <c r="F59" s="11" t="s">
        <v>1097</v>
      </c>
      <c r="G59" s="12">
        <f>6+9</f>
        <v>15</v>
      </c>
      <c r="H59" s="9" t="s">
        <v>1098</v>
      </c>
      <c r="I59" s="10">
        <v>5</v>
      </c>
      <c r="J59" s="11" t="s">
        <v>1099</v>
      </c>
      <c r="K59" s="12">
        <v>6</v>
      </c>
      <c r="L59" s="9"/>
      <c r="M59" s="10"/>
      <c r="N59" s="11"/>
      <c r="O59" s="12"/>
      <c r="P59" s="9"/>
      <c r="Q59" s="10"/>
      <c r="R59" s="9"/>
      <c r="S59" s="10"/>
      <c r="T59" s="9"/>
      <c r="U59" s="10"/>
      <c r="V59" s="9"/>
      <c r="W59" s="12"/>
      <c r="X59" s="53">
        <f t="shared" si="0"/>
        <v>26</v>
      </c>
    </row>
    <row r="60" spans="1:24" x14ac:dyDescent="0.25">
      <c r="A60" s="6">
        <v>152</v>
      </c>
      <c r="B60" s="7" t="s">
        <v>45</v>
      </c>
      <c r="C60" s="8" t="s">
        <v>497</v>
      </c>
      <c r="D60" s="9" t="s">
        <v>498</v>
      </c>
      <c r="E60" s="10"/>
      <c r="F60" s="11" t="s">
        <v>499</v>
      </c>
      <c r="G60" s="12"/>
      <c r="H60" s="9" t="s">
        <v>500</v>
      </c>
      <c r="I60" s="10">
        <v>6</v>
      </c>
      <c r="J60" s="11" t="s">
        <v>501</v>
      </c>
      <c r="K60" s="12"/>
      <c r="L60" s="9" t="s">
        <v>502</v>
      </c>
      <c r="M60" s="10">
        <v>3</v>
      </c>
      <c r="N60" s="11" t="s">
        <v>503</v>
      </c>
      <c r="O60" s="12"/>
      <c r="P60" s="9" t="s">
        <v>504</v>
      </c>
      <c r="Q60" s="10">
        <v>6</v>
      </c>
      <c r="R60" s="9" t="s">
        <v>505</v>
      </c>
      <c r="S60" s="10"/>
      <c r="T60" s="9"/>
      <c r="U60" s="10"/>
      <c r="V60" s="9"/>
      <c r="W60" s="12"/>
      <c r="X60" s="53">
        <f t="shared" si="0"/>
        <v>15</v>
      </c>
    </row>
    <row r="61" spans="1:24" x14ac:dyDescent="0.25">
      <c r="A61" s="6">
        <v>153</v>
      </c>
      <c r="B61" s="7" t="s">
        <v>147</v>
      </c>
      <c r="C61" s="8" t="s">
        <v>148</v>
      </c>
      <c r="D61" s="9" t="s">
        <v>149</v>
      </c>
      <c r="E61" s="10"/>
      <c r="F61" s="11" t="s">
        <v>150</v>
      </c>
      <c r="G61" s="12">
        <v>5</v>
      </c>
      <c r="H61" s="9" t="s">
        <v>151</v>
      </c>
      <c r="I61" s="10"/>
      <c r="J61" s="11"/>
      <c r="K61" s="12"/>
      <c r="L61" s="9"/>
      <c r="M61" s="10"/>
      <c r="N61" s="11"/>
      <c r="O61" s="12"/>
      <c r="P61" s="9"/>
      <c r="Q61" s="10"/>
      <c r="R61" s="9"/>
      <c r="S61" s="10"/>
      <c r="T61" s="9"/>
      <c r="U61" s="10"/>
      <c r="V61" s="9"/>
      <c r="W61" s="12"/>
      <c r="X61" s="53">
        <f t="shared" si="0"/>
        <v>5</v>
      </c>
    </row>
    <row r="62" spans="1:24" x14ac:dyDescent="0.25">
      <c r="A62" s="6">
        <v>163</v>
      </c>
      <c r="B62" s="7" t="s">
        <v>432</v>
      </c>
      <c r="C62" s="8" t="s">
        <v>148</v>
      </c>
      <c r="D62" s="9" t="s">
        <v>444</v>
      </c>
      <c r="E62" s="10"/>
      <c r="F62" s="11"/>
      <c r="G62" s="12"/>
      <c r="H62" s="9"/>
      <c r="I62" s="10"/>
      <c r="J62" s="11"/>
      <c r="K62" s="12"/>
      <c r="L62" s="9"/>
      <c r="M62" s="10"/>
      <c r="N62" s="11"/>
      <c r="O62" s="12"/>
      <c r="P62" s="9"/>
      <c r="Q62" s="10"/>
      <c r="R62" s="9"/>
      <c r="S62" s="10"/>
      <c r="T62" s="9"/>
      <c r="U62" s="10"/>
      <c r="V62" s="9"/>
      <c r="W62" s="12"/>
      <c r="X62" s="53">
        <f t="shared" si="0"/>
        <v>0</v>
      </c>
    </row>
    <row r="63" spans="1:24" x14ac:dyDescent="0.25">
      <c r="A63" s="6">
        <v>164</v>
      </c>
      <c r="B63" s="7" t="s">
        <v>354</v>
      </c>
      <c r="C63" s="8" t="s">
        <v>355</v>
      </c>
      <c r="D63" s="9" t="s">
        <v>356</v>
      </c>
      <c r="E63" s="10"/>
      <c r="F63" s="11" t="s">
        <v>357</v>
      </c>
      <c r="G63" s="12"/>
      <c r="H63" s="9" t="s">
        <v>358</v>
      </c>
      <c r="I63" s="10"/>
      <c r="J63" s="11"/>
      <c r="K63" s="12"/>
      <c r="L63" s="9"/>
      <c r="M63" s="10"/>
      <c r="N63" s="11"/>
      <c r="O63" s="12"/>
      <c r="P63" s="9"/>
      <c r="Q63" s="10"/>
      <c r="R63" s="9"/>
      <c r="S63" s="10"/>
      <c r="T63" s="9"/>
      <c r="U63" s="10"/>
      <c r="V63" s="9"/>
      <c r="W63" s="12"/>
      <c r="X63" s="53">
        <f t="shared" si="0"/>
        <v>0</v>
      </c>
    </row>
    <row r="64" spans="1:24" x14ac:dyDescent="0.25">
      <c r="A64" s="6">
        <v>165</v>
      </c>
      <c r="B64" s="7" t="s">
        <v>129</v>
      </c>
      <c r="C64" s="8" t="s">
        <v>355</v>
      </c>
      <c r="D64" s="9" t="s">
        <v>576</v>
      </c>
      <c r="E64" s="10"/>
      <c r="F64" s="11"/>
      <c r="G64" s="12"/>
      <c r="H64" s="9"/>
      <c r="I64" s="10"/>
      <c r="J64" s="11"/>
      <c r="K64" s="12"/>
      <c r="L64" s="9"/>
      <c r="M64" s="10"/>
      <c r="N64" s="11"/>
      <c r="O64" s="12"/>
      <c r="P64" s="9"/>
      <c r="Q64" s="10"/>
      <c r="R64" s="9"/>
      <c r="S64" s="10"/>
      <c r="T64" s="9"/>
      <c r="U64" s="10"/>
      <c r="V64" s="9"/>
      <c r="W64" s="12"/>
      <c r="X64" s="53">
        <f t="shared" si="0"/>
        <v>0</v>
      </c>
    </row>
    <row r="65" spans="1:24" x14ac:dyDescent="0.25">
      <c r="A65" s="6">
        <v>169</v>
      </c>
      <c r="B65" s="7" t="s">
        <v>45</v>
      </c>
      <c r="C65" s="8" t="s">
        <v>46</v>
      </c>
      <c r="D65" s="9" t="s">
        <v>47</v>
      </c>
      <c r="E65" s="10"/>
      <c r="F65" s="11" t="s">
        <v>48</v>
      </c>
      <c r="G65" s="12"/>
      <c r="H65" s="9" t="s">
        <v>49</v>
      </c>
      <c r="I65" s="10"/>
      <c r="J65" s="11"/>
      <c r="K65" s="12"/>
      <c r="L65" s="9"/>
      <c r="M65" s="10"/>
      <c r="N65" s="11"/>
      <c r="O65" s="12"/>
      <c r="P65" s="9"/>
      <c r="Q65" s="10"/>
      <c r="R65" s="9"/>
      <c r="S65" s="10"/>
      <c r="T65" s="9"/>
      <c r="U65" s="10"/>
      <c r="V65" s="9"/>
      <c r="W65" s="12"/>
      <c r="X65" s="53">
        <f t="shared" si="0"/>
        <v>0</v>
      </c>
    </row>
    <row r="66" spans="1:24" x14ac:dyDescent="0.25">
      <c r="A66" s="6">
        <v>171</v>
      </c>
      <c r="B66" s="7" t="s">
        <v>1505</v>
      </c>
      <c r="C66" s="8" t="s">
        <v>1506</v>
      </c>
      <c r="D66" s="9" t="s">
        <v>215</v>
      </c>
      <c r="E66" s="10">
        <v>5</v>
      </c>
      <c r="F66" s="11"/>
      <c r="G66" s="12"/>
      <c r="H66" s="9"/>
      <c r="I66" s="10"/>
      <c r="J66" s="11"/>
      <c r="K66" s="12"/>
      <c r="L66" s="9"/>
      <c r="M66" s="10"/>
      <c r="N66" s="11"/>
      <c r="O66" s="12"/>
      <c r="P66" s="9"/>
      <c r="Q66" s="10"/>
      <c r="R66" s="9"/>
      <c r="S66" s="10"/>
      <c r="T66" s="9"/>
      <c r="U66" s="10"/>
      <c r="V66" s="9"/>
      <c r="W66" s="12"/>
      <c r="X66" s="53">
        <f t="shared" si="0"/>
        <v>5</v>
      </c>
    </row>
    <row r="67" spans="1:24" x14ac:dyDescent="0.25">
      <c r="A67" s="6">
        <v>175</v>
      </c>
      <c r="B67" s="7" t="s">
        <v>465</v>
      </c>
      <c r="C67" s="8" t="s">
        <v>721</v>
      </c>
      <c r="D67" s="9" t="s">
        <v>722</v>
      </c>
      <c r="E67" s="10">
        <f>8+8</f>
        <v>16</v>
      </c>
      <c r="F67" s="11" t="s">
        <v>723</v>
      </c>
      <c r="G67" s="12">
        <f>8+6+8+10+5+6+10</f>
        <v>53</v>
      </c>
      <c r="H67" s="9" t="s">
        <v>724</v>
      </c>
      <c r="I67" s="10"/>
      <c r="J67" s="11" t="s">
        <v>725</v>
      </c>
      <c r="K67" s="12">
        <v>5</v>
      </c>
      <c r="L67" s="9" t="s">
        <v>726</v>
      </c>
      <c r="M67" s="10">
        <f>9+8+8+8</f>
        <v>33</v>
      </c>
      <c r="N67" s="11" t="s">
        <v>727</v>
      </c>
      <c r="O67" s="12">
        <f>5+6+9</f>
        <v>20</v>
      </c>
      <c r="P67" s="9" t="s">
        <v>728</v>
      </c>
      <c r="Q67" s="10">
        <v>7</v>
      </c>
      <c r="R67" s="9"/>
      <c r="S67" s="10"/>
      <c r="T67" s="9"/>
      <c r="U67" s="10"/>
      <c r="V67" s="9"/>
      <c r="W67" s="12"/>
      <c r="X67" s="53">
        <f t="shared" si="0"/>
        <v>134</v>
      </c>
    </row>
    <row r="68" spans="1:24" x14ac:dyDescent="0.25">
      <c r="A68" s="6">
        <v>176</v>
      </c>
      <c r="B68" s="7" t="s">
        <v>567</v>
      </c>
      <c r="C68" s="8" t="s">
        <v>817</v>
      </c>
      <c r="D68" s="9" t="s">
        <v>534</v>
      </c>
      <c r="E68" s="10">
        <f>7+8</f>
        <v>15</v>
      </c>
      <c r="F68" s="11" t="s">
        <v>1198</v>
      </c>
      <c r="G68" s="12">
        <v>4</v>
      </c>
      <c r="H68" s="9" t="s">
        <v>306</v>
      </c>
      <c r="I68" s="10">
        <f>6+6+5</f>
        <v>17</v>
      </c>
      <c r="J68" s="11"/>
      <c r="K68" s="12"/>
      <c r="L68" s="9"/>
      <c r="M68" s="10"/>
      <c r="N68" s="11"/>
      <c r="O68" s="12"/>
      <c r="P68" s="9"/>
      <c r="Q68" s="10"/>
      <c r="R68" s="9"/>
      <c r="S68" s="10"/>
      <c r="T68" s="9"/>
      <c r="U68" s="10"/>
      <c r="V68" s="9"/>
      <c r="W68" s="12"/>
      <c r="X68" s="53">
        <f t="shared" ref="X68:X131" si="1">E68+G68+I68+K68+M68+O68+Q68+S68+U68+W68</f>
        <v>36</v>
      </c>
    </row>
    <row r="69" spans="1:24" x14ac:dyDescent="0.25">
      <c r="A69" s="6">
        <v>177</v>
      </c>
      <c r="B69" s="7" t="s">
        <v>139</v>
      </c>
      <c r="C69" s="8" t="s">
        <v>1101</v>
      </c>
      <c r="D69" s="9" t="s">
        <v>315</v>
      </c>
      <c r="E69" s="10">
        <v>5</v>
      </c>
      <c r="F69" s="11"/>
      <c r="G69" s="12"/>
      <c r="H69" s="9"/>
      <c r="I69" s="10"/>
      <c r="J69" s="11"/>
      <c r="K69" s="12"/>
      <c r="L69" s="9"/>
      <c r="M69" s="10"/>
      <c r="N69" s="11"/>
      <c r="O69" s="12"/>
      <c r="P69" s="9"/>
      <c r="Q69" s="10"/>
      <c r="R69" s="9"/>
      <c r="S69" s="10"/>
      <c r="T69" s="9"/>
      <c r="U69" s="10"/>
      <c r="V69" s="9"/>
      <c r="W69" s="12"/>
      <c r="X69" s="53">
        <f t="shared" si="1"/>
        <v>5</v>
      </c>
    </row>
    <row r="70" spans="1:24" x14ac:dyDescent="0.25">
      <c r="A70" s="6">
        <v>178</v>
      </c>
      <c r="B70" s="7" t="s">
        <v>182</v>
      </c>
      <c r="C70" s="8" t="s">
        <v>842</v>
      </c>
      <c r="D70" s="9" t="s">
        <v>843</v>
      </c>
      <c r="E70" s="10"/>
      <c r="F70" s="11" t="s">
        <v>440</v>
      </c>
      <c r="G70" s="12"/>
      <c r="H70" s="9"/>
      <c r="I70" s="10"/>
      <c r="J70" s="11"/>
      <c r="K70" s="12"/>
      <c r="L70" s="9"/>
      <c r="M70" s="10"/>
      <c r="N70" s="11"/>
      <c r="O70" s="12"/>
      <c r="P70" s="9"/>
      <c r="Q70" s="10"/>
      <c r="R70" s="9"/>
      <c r="S70" s="10"/>
      <c r="T70" s="9"/>
      <c r="U70" s="10"/>
      <c r="V70" s="9"/>
      <c r="W70" s="12"/>
      <c r="X70" s="53">
        <f t="shared" si="1"/>
        <v>0</v>
      </c>
    </row>
    <row r="71" spans="1:24" x14ac:dyDescent="0.25">
      <c r="A71" s="6">
        <v>186</v>
      </c>
      <c r="B71" s="7" t="s">
        <v>637</v>
      </c>
      <c r="C71" s="8" t="s">
        <v>638</v>
      </c>
      <c r="D71" s="9" t="s">
        <v>639</v>
      </c>
      <c r="E71" s="10"/>
      <c r="F71" s="11"/>
      <c r="G71" s="12"/>
      <c r="H71" s="9"/>
      <c r="I71" s="10"/>
      <c r="J71" s="11"/>
      <c r="K71" s="12"/>
      <c r="L71" s="9"/>
      <c r="M71" s="10"/>
      <c r="N71" s="11"/>
      <c r="O71" s="12"/>
      <c r="P71" s="9"/>
      <c r="Q71" s="10"/>
      <c r="R71" s="9"/>
      <c r="S71" s="10"/>
      <c r="T71" s="9"/>
      <c r="U71" s="10"/>
      <c r="V71" s="9"/>
      <c r="W71" s="12"/>
      <c r="X71" s="53">
        <f t="shared" si="1"/>
        <v>0</v>
      </c>
    </row>
    <row r="72" spans="1:24" x14ac:dyDescent="0.25">
      <c r="A72" s="6">
        <v>199</v>
      </c>
      <c r="B72" s="7" t="s">
        <v>200</v>
      </c>
      <c r="C72" s="8" t="s">
        <v>201</v>
      </c>
      <c r="D72" s="9" t="s">
        <v>202</v>
      </c>
      <c r="E72" s="10">
        <v>5</v>
      </c>
      <c r="F72" s="11" t="s">
        <v>203</v>
      </c>
      <c r="G72" s="12"/>
      <c r="H72" s="9"/>
      <c r="I72" s="10"/>
      <c r="J72" s="11"/>
      <c r="K72" s="12"/>
      <c r="L72" s="9"/>
      <c r="M72" s="10"/>
      <c r="N72" s="11"/>
      <c r="O72" s="12"/>
      <c r="P72" s="9"/>
      <c r="Q72" s="10"/>
      <c r="R72" s="9"/>
      <c r="S72" s="10"/>
      <c r="T72" s="9"/>
      <c r="U72" s="10"/>
      <c r="V72" s="9"/>
      <c r="W72" s="12"/>
      <c r="X72" s="53">
        <f t="shared" si="1"/>
        <v>5</v>
      </c>
    </row>
    <row r="73" spans="1:24" x14ac:dyDescent="0.25">
      <c r="A73" s="6">
        <v>211</v>
      </c>
      <c r="B73" s="7" t="s">
        <v>85</v>
      </c>
      <c r="C73" s="8" t="s">
        <v>334</v>
      </c>
      <c r="D73" s="9" t="s">
        <v>335</v>
      </c>
      <c r="E73" s="10"/>
      <c r="F73" s="11"/>
      <c r="G73" s="12"/>
      <c r="H73" s="9"/>
      <c r="I73" s="10"/>
      <c r="J73" s="11"/>
      <c r="K73" s="12"/>
      <c r="L73" s="9"/>
      <c r="M73" s="10"/>
      <c r="N73" s="11"/>
      <c r="O73" s="12"/>
      <c r="P73" s="9"/>
      <c r="Q73" s="10"/>
      <c r="R73" s="9"/>
      <c r="S73" s="10"/>
      <c r="T73" s="9"/>
      <c r="U73" s="10"/>
      <c r="V73" s="9"/>
      <c r="W73" s="12"/>
      <c r="X73" s="53">
        <f t="shared" si="1"/>
        <v>0</v>
      </c>
    </row>
    <row r="74" spans="1:24" x14ac:dyDescent="0.25">
      <c r="A74" s="6">
        <v>215</v>
      </c>
      <c r="B74" s="7" t="s">
        <v>577</v>
      </c>
      <c r="C74" s="8" t="s">
        <v>578</v>
      </c>
      <c r="D74" s="9" t="s">
        <v>579</v>
      </c>
      <c r="E74" s="10"/>
      <c r="F74" s="11" t="s">
        <v>580</v>
      </c>
      <c r="G74" s="12">
        <f>5+7+4</f>
        <v>16</v>
      </c>
      <c r="H74" s="9" t="s">
        <v>581</v>
      </c>
      <c r="I74" s="10">
        <f>6+3</f>
        <v>9</v>
      </c>
      <c r="J74" s="11" t="s">
        <v>582</v>
      </c>
      <c r="K74" s="12">
        <v>6</v>
      </c>
      <c r="L74" s="9" t="s">
        <v>583</v>
      </c>
      <c r="M74" s="10">
        <v>3</v>
      </c>
      <c r="N74" s="11"/>
      <c r="O74" s="12"/>
      <c r="P74" s="9"/>
      <c r="Q74" s="10"/>
      <c r="R74" s="9"/>
      <c r="S74" s="10"/>
      <c r="T74" s="9"/>
      <c r="U74" s="10"/>
      <c r="V74" s="9"/>
      <c r="W74" s="12"/>
      <c r="X74" s="53">
        <f t="shared" si="1"/>
        <v>34</v>
      </c>
    </row>
    <row r="75" spans="1:24" x14ac:dyDescent="0.25">
      <c r="A75" s="6">
        <v>216</v>
      </c>
      <c r="B75" s="7" t="s">
        <v>139</v>
      </c>
      <c r="C75" s="8" t="s">
        <v>140</v>
      </c>
      <c r="D75" s="9" t="s">
        <v>141</v>
      </c>
      <c r="E75" s="10"/>
      <c r="F75" s="11" t="s">
        <v>142</v>
      </c>
      <c r="G75" s="12">
        <f>9+5</f>
        <v>14</v>
      </c>
      <c r="H75" s="9" t="s">
        <v>143</v>
      </c>
      <c r="I75" s="10">
        <f>6+6+3</f>
        <v>15</v>
      </c>
      <c r="J75" s="11" t="s">
        <v>144</v>
      </c>
      <c r="K75" s="12">
        <v>7</v>
      </c>
      <c r="L75" s="9" t="s">
        <v>145</v>
      </c>
      <c r="M75" s="10">
        <v>5</v>
      </c>
      <c r="N75" s="11" t="s">
        <v>146</v>
      </c>
      <c r="O75" s="12">
        <f>7+4</f>
        <v>11</v>
      </c>
      <c r="P75" s="9"/>
      <c r="Q75" s="10"/>
      <c r="R75" s="9"/>
      <c r="S75" s="10"/>
      <c r="T75" s="9"/>
      <c r="U75" s="10"/>
      <c r="V75" s="9"/>
      <c r="W75" s="12"/>
      <c r="X75" s="53">
        <f t="shared" si="1"/>
        <v>52</v>
      </c>
    </row>
    <row r="76" spans="1:24" x14ac:dyDescent="0.25">
      <c r="A76" s="6">
        <v>218</v>
      </c>
      <c r="B76" s="7" t="s">
        <v>677</v>
      </c>
      <c r="C76" s="8" t="s">
        <v>678</v>
      </c>
      <c r="D76" s="9" t="s">
        <v>679</v>
      </c>
      <c r="E76" s="10">
        <f>8+7+9+8</f>
        <v>32</v>
      </c>
      <c r="F76" s="11" t="s">
        <v>680</v>
      </c>
      <c r="G76" s="12"/>
      <c r="H76" s="9" t="s">
        <v>233</v>
      </c>
      <c r="I76" s="10">
        <f>7+9+8</f>
        <v>24</v>
      </c>
      <c r="J76" s="11" t="s">
        <v>959</v>
      </c>
      <c r="K76" s="12">
        <f>7+7</f>
        <v>14</v>
      </c>
      <c r="L76" s="9" t="s">
        <v>960</v>
      </c>
      <c r="M76" s="10"/>
      <c r="N76" s="11" t="s">
        <v>681</v>
      </c>
      <c r="O76" s="12">
        <f>9+8</f>
        <v>17</v>
      </c>
      <c r="P76" s="9" t="s">
        <v>682</v>
      </c>
      <c r="Q76" s="10">
        <f>10+7+8+7</f>
        <v>32</v>
      </c>
      <c r="R76" s="9" t="s">
        <v>683</v>
      </c>
      <c r="S76" s="10">
        <f>7+10+7</f>
        <v>24</v>
      </c>
      <c r="T76" s="9" t="s">
        <v>684</v>
      </c>
      <c r="U76" s="10">
        <v>9</v>
      </c>
      <c r="V76" s="9"/>
      <c r="W76" s="12"/>
      <c r="X76" s="53">
        <f t="shared" si="1"/>
        <v>152</v>
      </c>
    </row>
    <row r="77" spans="1:24" x14ac:dyDescent="0.25">
      <c r="A77" s="6">
        <v>219</v>
      </c>
      <c r="B77" s="7" t="s">
        <v>147</v>
      </c>
      <c r="C77" s="8" t="s">
        <v>367</v>
      </c>
      <c r="D77" s="9" t="s">
        <v>368</v>
      </c>
      <c r="E77" s="10"/>
      <c r="F77" s="11" t="s">
        <v>369</v>
      </c>
      <c r="G77" s="12"/>
      <c r="H77" s="9" t="s">
        <v>370</v>
      </c>
      <c r="I77" s="10">
        <v>9</v>
      </c>
      <c r="J77" s="11" t="s">
        <v>371</v>
      </c>
      <c r="K77" s="12"/>
      <c r="L77" s="9" t="s">
        <v>372</v>
      </c>
      <c r="M77" s="10">
        <v>7</v>
      </c>
      <c r="N77" s="11" t="s">
        <v>373</v>
      </c>
      <c r="O77" s="12"/>
      <c r="P77" s="9" t="s">
        <v>374</v>
      </c>
      <c r="Q77" s="10"/>
      <c r="R77" s="9" t="s">
        <v>375</v>
      </c>
      <c r="S77" s="10"/>
      <c r="T77" s="9" t="s">
        <v>376</v>
      </c>
      <c r="U77" s="10">
        <v>7</v>
      </c>
      <c r="V77" s="9"/>
      <c r="W77" s="12"/>
      <c r="X77" s="53">
        <f t="shared" si="1"/>
        <v>23</v>
      </c>
    </row>
    <row r="78" spans="1:24" x14ac:dyDescent="0.25">
      <c r="A78" s="6">
        <v>220</v>
      </c>
      <c r="B78" s="7" t="s">
        <v>85</v>
      </c>
      <c r="C78" s="8" t="s">
        <v>377</v>
      </c>
      <c r="D78" s="9" t="s">
        <v>378</v>
      </c>
      <c r="E78" s="10">
        <v>5</v>
      </c>
      <c r="F78" s="11" t="s">
        <v>379</v>
      </c>
      <c r="G78" s="12"/>
      <c r="H78" s="9" t="s">
        <v>380</v>
      </c>
      <c r="I78" s="10">
        <v>6</v>
      </c>
      <c r="J78" s="11" t="s">
        <v>381</v>
      </c>
      <c r="K78" s="12"/>
      <c r="L78" s="9" t="s">
        <v>382</v>
      </c>
      <c r="M78" s="10"/>
      <c r="N78" s="11" t="s">
        <v>383</v>
      </c>
      <c r="O78" s="12">
        <v>5</v>
      </c>
      <c r="P78" s="9" t="s">
        <v>384</v>
      </c>
      <c r="Q78" s="10">
        <v>6</v>
      </c>
      <c r="R78" s="9" t="s">
        <v>385</v>
      </c>
      <c r="S78" s="10"/>
      <c r="T78" s="9" t="s">
        <v>386</v>
      </c>
      <c r="U78" s="10"/>
      <c r="V78" s="9"/>
      <c r="W78" s="12"/>
      <c r="X78" s="53">
        <f t="shared" si="1"/>
        <v>22</v>
      </c>
    </row>
    <row r="79" spans="1:24" x14ac:dyDescent="0.25">
      <c r="A79" s="6">
        <v>221</v>
      </c>
      <c r="B79" s="7" t="s">
        <v>74</v>
      </c>
      <c r="C79" s="8" t="s">
        <v>75</v>
      </c>
      <c r="D79" s="9" t="s">
        <v>76</v>
      </c>
      <c r="E79" s="10">
        <f>7+5</f>
        <v>12</v>
      </c>
      <c r="F79" s="11" t="s">
        <v>77</v>
      </c>
      <c r="G79" s="12">
        <f>6+9</f>
        <v>15</v>
      </c>
      <c r="H79" s="9" t="s">
        <v>78</v>
      </c>
      <c r="I79" s="10"/>
      <c r="J79" s="11" t="s">
        <v>79</v>
      </c>
      <c r="K79" s="12">
        <f>7+7</f>
        <v>14</v>
      </c>
      <c r="L79" s="9" t="s">
        <v>80</v>
      </c>
      <c r="M79" s="10">
        <f>8+9</f>
        <v>17</v>
      </c>
      <c r="N79" s="11" t="s">
        <v>40</v>
      </c>
      <c r="O79" s="12">
        <f>7+6+9</f>
        <v>22</v>
      </c>
      <c r="P79" s="9" t="s">
        <v>81</v>
      </c>
      <c r="Q79" s="10"/>
      <c r="R79" s="9" t="s">
        <v>82</v>
      </c>
      <c r="S79" s="10">
        <v>5</v>
      </c>
      <c r="T79" s="9" t="s">
        <v>83</v>
      </c>
      <c r="U79" s="10">
        <f>8+8+7</f>
        <v>23</v>
      </c>
      <c r="V79" s="9" t="s">
        <v>84</v>
      </c>
      <c r="W79" s="12">
        <v>7</v>
      </c>
      <c r="X79" s="53">
        <f t="shared" si="1"/>
        <v>115</v>
      </c>
    </row>
    <row r="80" spans="1:24" x14ac:dyDescent="0.25">
      <c r="A80" s="6">
        <v>226</v>
      </c>
      <c r="B80" s="7" t="s">
        <v>109</v>
      </c>
      <c r="C80" s="8" t="s">
        <v>110</v>
      </c>
      <c r="D80" s="9" t="s">
        <v>111</v>
      </c>
      <c r="E80" s="10">
        <v>5</v>
      </c>
      <c r="F80" s="11" t="s">
        <v>112</v>
      </c>
      <c r="G80" s="12"/>
      <c r="H80" s="9" t="s">
        <v>113</v>
      </c>
      <c r="I80" s="10">
        <v>6</v>
      </c>
      <c r="J80" s="11" t="s">
        <v>114</v>
      </c>
      <c r="K80" s="12"/>
      <c r="L80" s="9" t="s">
        <v>115</v>
      </c>
      <c r="M80" s="10"/>
      <c r="N80" s="11" t="s">
        <v>116</v>
      </c>
      <c r="O80" s="12"/>
      <c r="P80" s="9" t="s">
        <v>117</v>
      </c>
      <c r="Q80" s="10">
        <v>6</v>
      </c>
      <c r="R80" s="9"/>
      <c r="S80" s="10"/>
      <c r="T80" s="9"/>
      <c r="U80" s="10"/>
      <c r="V80" s="9"/>
      <c r="W80" s="12"/>
      <c r="X80" s="53">
        <f t="shared" si="1"/>
        <v>17</v>
      </c>
    </row>
    <row r="81" spans="1:24" x14ac:dyDescent="0.25">
      <c r="A81" s="6">
        <v>227</v>
      </c>
      <c r="B81" s="7" t="s">
        <v>152</v>
      </c>
      <c r="C81" s="8" t="s">
        <v>119</v>
      </c>
      <c r="D81" s="9" t="s">
        <v>153</v>
      </c>
      <c r="E81" s="10">
        <v>4</v>
      </c>
      <c r="F81" s="11" t="s">
        <v>154</v>
      </c>
      <c r="G81" s="12">
        <f>6+7+5</f>
        <v>18</v>
      </c>
      <c r="H81" s="9" t="s">
        <v>155</v>
      </c>
      <c r="I81" s="10">
        <v>6</v>
      </c>
      <c r="J81" s="11" t="s">
        <v>156</v>
      </c>
      <c r="K81" s="12">
        <f>5+6</f>
        <v>11</v>
      </c>
      <c r="L81" s="9" t="s">
        <v>157</v>
      </c>
      <c r="M81" s="10"/>
      <c r="N81" s="11" t="s">
        <v>158</v>
      </c>
      <c r="O81" s="12"/>
      <c r="P81" s="9" t="s">
        <v>159</v>
      </c>
      <c r="Q81" s="10"/>
      <c r="R81" s="9" t="s">
        <v>160</v>
      </c>
      <c r="S81" s="10"/>
      <c r="T81" s="9" t="s">
        <v>161</v>
      </c>
      <c r="U81" s="10"/>
      <c r="V81" s="9" t="s">
        <v>162</v>
      </c>
      <c r="W81" s="12"/>
      <c r="X81" s="53">
        <f t="shared" si="1"/>
        <v>39</v>
      </c>
    </row>
    <row r="82" spans="1:24" x14ac:dyDescent="0.25">
      <c r="A82" s="6">
        <v>228</v>
      </c>
      <c r="B82" s="7" t="s">
        <v>118</v>
      </c>
      <c r="C82" s="8" t="s">
        <v>119</v>
      </c>
      <c r="D82" s="9" t="s">
        <v>120</v>
      </c>
      <c r="E82" s="10">
        <v>6</v>
      </c>
      <c r="F82" s="11" t="s">
        <v>121</v>
      </c>
      <c r="G82" s="12"/>
      <c r="H82" s="9" t="s">
        <v>122</v>
      </c>
      <c r="I82" s="10"/>
      <c r="J82" s="11" t="s">
        <v>123</v>
      </c>
      <c r="K82" s="12"/>
      <c r="L82" s="9" t="s">
        <v>124</v>
      </c>
      <c r="M82" s="10"/>
      <c r="N82" s="11" t="s">
        <v>125</v>
      </c>
      <c r="O82" s="12"/>
      <c r="P82" s="9" t="s">
        <v>126</v>
      </c>
      <c r="Q82" s="10"/>
      <c r="R82" s="9"/>
      <c r="S82" s="10"/>
      <c r="T82" s="9"/>
      <c r="U82" s="10"/>
      <c r="V82" s="9"/>
      <c r="W82" s="12"/>
      <c r="X82" s="53">
        <f t="shared" si="1"/>
        <v>6</v>
      </c>
    </row>
    <row r="83" spans="1:24" x14ac:dyDescent="0.25">
      <c r="A83" s="6">
        <v>229</v>
      </c>
      <c r="B83" s="7" t="s">
        <v>473</v>
      </c>
      <c r="C83" s="8" t="s">
        <v>110</v>
      </c>
      <c r="D83" s="9" t="s">
        <v>482</v>
      </c>
      <c r="E83" s="10">
        <v>7</v>
      </c>
      <c r="F83" s="11" t="s">
        <v>483</v>
      </c>
      <c r="G83" s="12">
        <f>8+6+9+8+5+4</f>
        <v>40</v>
      </c>
      <c r="H83" s="9" t="s">
        <v>484</v>
      </c>
      <c r="I83" s="10">
        <v>9</v>
      </c>
      <c r="J83" s="11" t="s">
        <v>485</v>
      </c>
      <c r="K83" s="12">
        <v>7</v>
      </c>
      <c r="L83" s="9" t="s">
        <v>486</v>
      </c>
      <c r="M83" s="10">
        <f>7+4</f>
        <v>11</v>
      </c>
      <c r="N83" s="11" t="s">
        <v>487</v>
      </c>
      <c r="O83" s="12">
        <f>7+6</f>
        <v>13</v>
      </c>
      <c r="P83" s="9" t="s">
        <v>488</v>
      </c>
      <c r="Q83" s="10">
        <v>10</v>
      </c>
      <c r="R83" s="9" t="s">
        <v>489</v>
      </c>
      <c r="S83" s="10">
        <f>6+5</f>
        <v>11</v>
      </c>
      <c r="T83" s="9" t="s">
        <v>490</v>
      </c>
      <c r="U83" s="10"/>
      <c r="V83" s="9" t="s">
        <v>376</v>
      </c>
      <c r="W83" s="12">
        <v>6</v>
      </c>
      <c r="X83" s="53">
        <f t="shared" si="1"/>
        <v>114</v>
      </c>
    </row>
    <row r="84" spans="1:24" x14ac:dyDescent="0.25">
      <c r="A84" s="6">
        <v>230</v>
      </c>
      <c r="B84" s="7" t="s">
        <v>85</v>
      </c>
      <c r="C84" s="8" t="s">
        <v>86</v>
      </c>
      <c r="D84" s="9" t="s">
        <v>89</v>
      </c>
      <c r="E84" s="10"/>
      <c r="F84" s="11" t="s">
        <v>168</v>
      </c>
      <c r="G84" s="12">
        <v>8</v>
      </c>
      <c r="H84" s="9" t="s">
        <v>169</v>
      </c>
      <c r="I84" s="10"/>
      <c r="J84" s="11" t="s">
        <v>170</v>
      </c>
      <c r="K84" s="12">
        <v>7</v>
      </c>
      <c r="L84" s="9" t="s">
        <v>174</v>
      </c>
      <c r="M84" s="10">
        <v>7</v>
      </c>
      <c r="N84" s="11" t="s">
        <v>171</v>
      </c>
      <c r="O84" s="12"/>
      <c r="P84" s="9" t="s">
        <v>172</v>
      </c>
      <c r="Q84" s="10"/>
      <c r="R84" s="9" t="s">
        <v>173</v>
      </c>
      <c r="S84" s="10"/>
      <c r="T84" s="9"/>
      <c r="U84" s="10"/>
      <c r="V84" s="9"/>
      <c r="W84" s="12"/>
      <c r="X84" s="53">
        <f t="shared" si="1"/>
        <v>22</v>
      </c>
    </row>
    <row r="85" spans="1:24" x14ac:dyDescent="0.25">
      <c r="A85" s="6">
        <v>231</v>
      </c>
      <c r="B85" s="7" t="s">
        <v>280</v>
      </c>
      <c r="C85" s="8" t="s">
        <v>491</v>
      </c>
      <c r="D85" s="9" t="s">
        <v>492</v>
      </c>
      <c r="E85" s="10">
        <v>7</v>
      </c>
      <c r="F85" s="11" t="s">
        <v>493</v>
      </c>
      <c r="G85" s="12">
        <v>8</v>
      </c>
      <c r="H85" s="9" t="s">
        <v>494</v>
      </c>
      <c r="I85" s="10">
        <v>6</v>
      </c>
      <c r="J85" s="11" t="s">
        <v>495</v>
      </c>
      <c r="K85" s="12"/>
      <c r="L85" s="9" t="s">
        <v>496</v>
      </c>
      <c r="M85" s="10"/>
      <c r="N85" s="11"/>
      <c r="O85" s="12"/>
      <c r="P85" s="9"/>
      <c r="Q85" s="10"/>
      <c r="R85" s="9"/>
      <c r="S85" s="10"/>
      <c r="T85" s="9"/>
      <c r="U85" s="10"/>
      <c r="V85" s="9"/>
      <c r="W85" s="12"/>
      <c r="X85" s="53">
        <f t="shared" si="1"/>
        <v>21</v>
      </c>
    </row>
    <row r="86" spans="1:24" x14ac:dyDescent="0.25">
      <c r="A86" s="6">
        <v>232</v>
      </c>
      <c r="B86" s="7" t="s">
        <v>1013</v>
      </c>
      <c r="C86" s="8" t="s">
        <v>1014</v>
      </c>
      <c r="D86" s="9" t="s">
        <v>1015</v>
      </c>
      <c r="E86" s="10">
        <v>6</v>
      </c>
      <c r="F86" s="11" t="s">
        <v>1016</v>
      </c>
      <c r="G86" s="12"/>
      <c r="H86" s="9"/>
      <c r="I86" s="10"/>
      <c r="J86" s="11"/>
      <c r="K86" s="12"/>
      <c r="L86" s="9"/>
      <c r="M86" s="10"/>
      <c r="N86" s="11"/>
      <c r="O86" s="12"/>
      <c r="P86" s="9"/>
      <c r="Q86" s="10"/>
      <c r="R86" s="9"/>
      <c r="S86" s="10"/>
      <c r="T86" s="9"/>
      <c r="U86" s="10"/>
      <c r="V86" s="9"/>
      <c r="W86" s="12"/>
      <c r="X86" s="53">
        <f t="shared" si="1"/>
        <v>6</v>
      </c>
    </row>
    <row r="87" spans="1:24" x14ac:dyDescent="0.25">
      <c r="A87" s="6">
        <v>233</v>
      </c>
      <c r="B87" s="7" t="s">
        <v>131</v>
      </c>
      <c r="C87" s="8" t="s">
        <v>266</v>
      </c>
      <c r="D87" s="9" t="s">
        <v>1115</v>
      </c>
      <c r="E87" s="10">
        <v>7</v>
      </c>
      <c r="F87" s="11" t="s">
        <v>346</v>
      </c>
      <c r="G87" s="12"/>
      <c r="H87" s="9" t="s">
        <v>1098</v>
      </c>
      <c r="I87" s="10">
        <f>5+6</f>
        <v>11</v>
      </c>
      <c r="J87" s="11" t="s">
        <v>1116</v>
      </c>
      <c r="K87" s="12"/>
      <c r="L87" s="9" t="s">
        <v>1117</v>
      </c>
      <c r="M87" s="10"/>
      <c r="N87" s="11" t="s">
        <v>1118</v>
      </c>
      <c r="O87" s="12">
        <v>4</v>
      </c>
      <c r="P87" s="9" t="s">
        <v>1119</v>
      </c>
      <c r="Q87" s="10"/>
      <c r="R87" s="9" t="s">
        <v>1120</v>
      </c>
      <c r="S87" s="10">
        <v>8</v>
      </c>
      <c r="T87" s="9" t="s">
        <v>160</v>
      </c>
      <c r="U87" s="10"/>
      <c r="V87" s="9" t="s">
        <v>259</v>
      </c>
      <c r="W87" s="12"/>
      <c r="X87" s="53">
        <f t="shared" si="1"/>
        <v>30</v>
      </c>
    </row>
    <row r="88" spans="1:24" x14ac:dyDescent="0.25">
      <c r="A88" s="6">
        <v>241</v>
      </c>
      <c r="B88" s="7" t="s">
        <v>147</v>
      </c>
      <c r="C88" s="8" t="s">
        <v>1059</v>
      </c>
      <c r="D88" s="9" t="s">
        <v>731</v>
      </c>
      <c r="E88" s="10">
        <v>9</v>
      </c>
      <c r="F88" s="11" t="s">
        <v>1060</v>
      </c>
      <c r="G88" s="12"/>
      <c r="H88" s="9" t="s">
        <v>1061</v>
      </c>
      <c r="I88" s="10">
        <f>8+8</f>
        <v>16</v>
      </c>
      <c r="J88" s="11" t="s">
        <v>1062</v>
      </c>
      <c r="K88" s="12">
        <f>6+7+6</f>
        <v>19</v>
      </c>
      <c r="L88" s="9" t="s">
        <v>1063</v>
      </c>
      <c r="M88" s="10"/>
      <c r="N88" s="11" t="s">
        <v>1064</v>
      </c>
      <c r="O88" s="12">
        <v>5</v>
      </c>
      <c r="P88" s="9" t="s">
        <v>347</v>
      </c>
      <c r="Q88" s="10">
        <v>5</v>
      </c>
      <c r="R88" s="9" t="s">
        <v>259</v>
      </c>
      <c r="S88" s="10">
        <v>5</v>
      </c>
      <c r="T88" s="9" t="s">
        <v>1065</v>
      </c>
      <c r="U88" s="10">
        <f>5+7+9</f>
        <v>21</v>
      </c>
      <c r="V88" s="9" t="s">
        <v>1100</v>
      </c>
      <c r="W88" s="12"/>
      <c r="X88" s="53">
        <f t="shared" si="1"/>
        <v>80</v>
      </c>
    </row>
    <row r="89" spans="1:24" x14ac:dyDescent="0.25">
      <c r="A89" s="6">
        <v>242</v>
      </c>
      <c r="B89" s="7" t="s">
        <v>85</v>
      </c>
      <c r="C89" s="8" t="s">
        <v>949</v>
      </c>
      <c r="D89" s="9" t="s">
        <v>950</v>
      </c>
      <c r="E89" s="10"/>
      <c r="F89" s="11" t="s">
        <v>549</v>
      </c>
      <c r="G89" s="12">
        <v>8</v>
      </c>
      <c r="H89" s="9" t="s">
        <v>643</v>
      </c>
      <c r="I89" s="10">
        <v>6</v>
      </c>
      <c r="J89" s="11" t="s">
        <v>233</v>
      </c>
      <c r="K89" s="12"/>
      <c r="L89" s="9" t="s">
        <v>951</v>
      </c>
      <c r="M89" s="10"/>
      <c r="N89" s="11" t="s">
        <v>786</v>
      </c>
      <c r="O89" s="12">
        <v>6</v>
      </c>
      <c r="P89" s="9" t="s">
        <v>268</v>
      </c>
      <c r="Q89" s="10"/>
      <c r="R89" s="9" t="s">
        <v>615</v>
      </c>
      <c r="S89" s="10"/>
      <c r="T89" s="9" t="s">
        <v>952</v>
      </c>
      <c r="U89" s="10"/>
      <c r="V89" s="9" t="s">
        <v>690</v>
      </c>
      <c r="W89" s="12">
        <f>6+6</f>
        <v>12</v>
      </c>
      <c r="X89" s="53">
        <f t="shared" si="1"/>
        <v>32</v>
      </c>
    </row>
    <row r="90" spans="1:24" x14ac:dyDescent="0.25">
      <c r="A90" s="6">
        <v>247</v>
      </c>
      <c r="B90" s="7" t="s">
        <v>421</v>
      </c>
      <c r="C90" s="8" t="s">
        <v>422</v>
      </c>
      <c r="D90" s="9" t="s">
        <v>423</v>
      </c>
      <c r="E90" s="10"/>
      <c r="F90" s="11" t="s">
        <v>424</v>
      </c>
      <c r="G90" s="12">
        <f>5+3</f>
        <v>8</v>
      </c>
      <c r="H90" s="9" t="s">
        <v>425</v>
      </c>
      <c r="I90" s="10">
        <v>4</v>
      </c>
      <c r="J90" s="11" t="s">
        <v>426</v>
      </c>
      <c r="K90" s="12"/>
      <c r="L90" s="9" t="s">
        <v>427</v>
      </c>
      <c r="M90" s="10">
        <v>3</v>
      </c>
      <c r="N90" s="11" t="s">
        <v>428</v>
      </c>
      <c r="O90" s="12"/>
      <c r="P90" s="9" t="s">
        <v>429</v>
      </c>
      <c r="Q90" s="10"/>
      <c r="R90" s="9" t="s">
        <v>430</v>
      </c>
      <c r="S90" s="10">
        <v>8</v>
      </c>
      <c r="T90" s="9" t="s">
        <v>431</v>
      </c>
      <c r="U90" s="10">
        <v>6</v>
      </c>
      <c r="V90" s="9"/>
      <c r="W90" s="12"/>
      <c r="X90" s="53">
        <f t="shared" si="1"/>
        <v>29</v>
      </c>
    </row>
    <row r="91" spans="1:24" x14ac:dyDescent="0.25">
      <c r="A91" s="6">
        <v>248</v>
      </c>
      <c r="B91" s="7" t="s">
        <v>147</v>
      </c>
      <c r="C91" s="8" t="s">
        <v>674</v>
      </c>
      <c r="D91" s="9" t="s">
        <v>348</v>
      </c>
      <c r="E91" s="10"/>
      <c r="F91" s="11"/>
      <c r="G91" s="12"/>
      <c r="H91" s="9"/>
      <c r="I91" s="10"/>
      <c r="J91" s="11"/>
      <c r="K91" s="12"/>
      <c r="L91" s="9"/>
      <c r="M91" s="10"/>
      <c r="N91" s="11"/>
      <c r="O91" s="12"/>
      <c r="P91" s="9"/>
      <c r="Q91" s="10"/>
      <c r="R91" s="9"/>
      <c r="S91" s="10"/>
      <c r="T91" s="9"/>
      <c r="U91" s="10"/>
      <c r="V91" s="9"/>
      <c r="W91" s="12"/>
      <c r="X91" s="53">
        <f t="shared" si="1"/>
        <v>0</v>
      </c>
    </row>
    <row r="92" spans="1:24" x14ac:dyDescent="0.25">
      <c r="A92" s="6">
        <v>249</v>
      </c>
      <c r="B92" s="7" t="s">
        <v>209</v>
      </c>
      <c r="C92" s="8" t="s">
        <v>210</v>
      </c>
      <c r="D92" s="9" t="s">
        <v>211</v>
      </c>
      <c r="E92" s="10"/>
      <c r="F92" s="11" t="s">
        <v>212</v>
      </c>
      <c r="G92" s="12"/>
      <c r="H92" s="9"/>
      <c r="I92" s="10"/>
      <c r="J92" s="11"/>
      <c r="K92" s="12"/>
      <c r="L92" s="9"/>
      <c r="M92" s="10"/>
      <c r="N92" s="11"/>
      <c r="O92" s="12"/>
      <c r="P92" s="9"/>
      <c r="Q92" s="10"/>
      <c r="R92" s="9"/>
      <c r="S92" s="10"/>
      <c r="T92" s="9"/>
      <c r="U92" s="10"/>
      <c r="V92" s="9"/>
      <c r="W92" s="12"/>
      <c r="X92" s="53">
        <f t="shared" si="1"/>
        <v>0</v>
      </c>
    </row>
    <row r="93" spans="1:24" x14ac:dyDescent="0.25">
      <c r="A93" s="6">
        <v>250</v>
      </c>
      <c r="B93" s="7" t="s">
        <v>700</v>
      </c>
      <c r="C93" s="8" t="s">
        <v>1324</v>
      </c>
      <c r="D93" s="9" t="s">
        <v>1325</v>
      </c>
      <c r="E93" s="10">
        <v>7</v>
      </c>
      <c r="F93" s="11" t="s">
        <v>1326</v>
      </c>
      <c r="G93" s="12">
        <v>5</v>
      </c>
      <c r="H93" s="9" t="s">
        <v>1327</v>
      </c>
      <c r="I93" s="10">
        <v>7</v>
      </c>
      <c r="J93" s="11" t="s">
        <v>1328</v>
      </c>
      <c r="K93" s="12">
        <v>8</v>
      </c>
      <c r="L93" s="9" t="s">
        <v>1329</v>
      </c>
      <c r="M93" s="10"/>
      <c r="N93" s="11" t="s">
        <v>1330</v>
      </c>
      <c r="O93" s="12">
        <v>6</v>
      </c>
      <c r="P93" s="9" t="s">
        <v>1331</v>
      </c>
      <c r="Q93" s="10"/>
      <c r="R93" s="9" t="s">
        <v>1332</v>
      </c>
      <c r="S93" s="10">
        <v>4</v>
      </c>
      <c r="T93" s="9" t="s">
        <v>1333</v>
      </c>
      <c r="U93" s="10"/>
      <c r="V93" s="9" t="s">
        <v>323</v>
      </c>
      <c r="W93" s="12"/>
      <c r="X93" s="53">
        <f t="shared" si="1"/>
        <v>37</v>
      </c>
    </row>
    <row r="94" spans="1:24" x14ac:dyDescent="0.25">
      <c r="A94" s="6">
        <v>262</v>
      </c>
      <c r="B94" s="7" t="s">
        <v>1184</v>
      </c>
      <c r="C94" s="8" t="s">
        <v>1185</v>
      </c>
      <c r="D94" s="9" t="s">
        <v>1186</v>
      </c>
      <c r="E94" s="10"/>
      <c r="F94" s="11" t="s">
        <v>869</v>
      </c>
      <c r="G94" s="12"/>
      <c r="H94" s="9" t="s">
        <v>1187</v>
      </c>
      <c r="I94" s="10"/>
      <c r="J94" s="11" t="s">
        <v>1188</v>
      </c>
      <c r="K94" s="12"/>
      <c r="L94" s="9" t="s">
        <v>159</v>
      </c>
      <c r="M94" s="10"/>
      <c r="N94" s="11" t="s">
        <v>141</v>
      </c>
      <c r="O94" s="12"/>
      <c r="P94" s="9" t="s">
        <v>1189</v>
      </c>
      <c r="Q94" s="10"/>
      <c r="R94" s="9" t="s">
        <v>1190</v>
      </c>
      <c r="S94" s="10">
        <v>5</v>
      </c>
      <c r="T94" s="9"/>
      <c r="U94" s="10"/>
      <c r="V94" s="9"/>
      <c r="W94" s="12"/>
      <c r="X94" s="53">
        <f t="shared" si="1"/>
        <v>5</v>
      </c>
    </row>
    <row r="95" spans="1:24" x14ac:dyDescent="0.25">
      <c r="A95" s="6">
        <v>282</v>
      </c>
      <c r="B95" s="7" t="s">
        <v>465</v>
      </c>
      <c r="C95" s="8" t="s">
        <v>641</v>
      </c>
      <c r="D95" s="9" t="s">
        <v>973</v>
      </c>
      <c r="E95" s="10"/>
      <c r="F95" s="11" t="s">
        <v>974</v>
      </c>
      <c r="G95" s="12">
        <v>4</v>
      </c>
      <c r="H95" s="9" t="s">
        <v>757</v>
      </c>
      <c r="I95" s="10"/>
      <c r="J95" s="11" t="s">
        <v>975</v>
      </c>
      <c r="K95" s="12"/>
      <c r="L95" s="9" t="s">
        <v>976</v>
      </c>
      <c r="M95" s="10"/>
      <c r="N95" s="11" t="s">
        <v>977</v>
      </c>
      <c r="O95" s="12">
        <v>7</v>
      </c>
      <c r="P95" s="9" t="s">
        <v>978</v>
      </c>
      <c r="Q95" s="10">
        <v>6</v>
      </c>
      <c r="R95" s="9" t="s">
        <v>979</v>
      </c>
      <c r="S95" s="10"/>
      <c r="T95" s="9" t="s">
        <v>980</v>
      </c>
      <c r="U95" s="10"/>
      <c r="V95" s="9" t="s">
        <v>981</v>
      </c>
      <c r="W95" s="12"/>
      <c r="X95" s="53">
        <f t="shared" si="1"/>
        <v>17</v>
      </c>
    </row>
    <row r="96" spans="1:24" x14ac:dyDescent="0.25">
      <c r="A96" s="6">
        <v>283</v>
      </c>
      <c r="B96" s="7" t="s">
        <v>917</v>
      </c>
      <c r="C96" s="8" t="s">
        <v>1094</v>
      </c>
      <c r="D96" s="9" t="s">
        <v>538</v>
      </c>
      <c r="E96" s="10">
        <v>5</v>
      </c>
      <c r="F96" s="11"/>
      <c r="G96" s="12"/>
      <c r="H96" s="9"/>
      <c r="I96" s="10"/>
      <c r="J96" s="11"/>
      <c r="K96" s="12"/>
      <c r="L96" s="9"/>
      <c r="M96" s="10"/>
      <c r="N96" s="11"/>
      <c r="O96" s="12"/>
      <c r="P96" s="9"/>
      <c r="Q96" s="10"/>
      <c r="R96" s="9"/>
      <c r="S96" s="10"/>
      <c r="T96" s="9"/>
      <c r="U96" s="10"/>
      <c r="V96" s="9"/>
      <c r="W96" s="12"/>
      <c r="X96" s="53">
        <f t="shared" si="1"/>
        <v>5</v>
      </c>
    </row>
    <row r="97" spans="1:24" x14ac:dyDescent="0.25">
      <c r="A97" s="6">
        <v>285</v>
      </c>
      <c r="B97" s="7" t="s">
        <v>606</v>
      </c>
      <c r="C97" s="8" t="s">
        <v>607</v>
      </c>
      <c r="D97" s="9" t="s">
        <v>608</v>
      </c>
      <c r="E97" s="10"/>
      <c r="F97" s="11" t="s">
        <v>609</v>
      </c>
      <c r="G97" s="12">
        <f>5+3</f>
        <v>8</v>
      </c>
      <c r="H97" s="9" t="s">
        <v>610</v>
      </c>
      <c r="I97" s="10"/>
      <c r="J97" s="11" t="s">
        <v>611</v>
      </c>
      <c r="K97" s="12">
        <v>5</v>
      </c>
      <c r="L97" s="9" t="s">
        <v>612</v>
      </c>
      <c r="M97" s="10"/>
      <c r="N97" s="11"/>
      <c r="O97" s="12"/>
      <c r="P97" s="9"/>
      <c r="Q97" s="10"/>
      <c r="R97" s="9"/>
      <c r="S97" s="10"/>
      <c r="T97" s="9"/>
      <c r="U97" s="10"/>
      <c r="V97" s="9"/>
      <c r="W97" s="12"/>
      <c r="X97" s="53">
        <f t="shared" si="1"/>
        <v>13</v>
      </c>
    </row>
    <row r="98" spans="1:24" x14ac:dyDescent="0.25">
      <c r="A98" s="6">
        <v>286</v>
      </c>
      <c r="B98" s="7" t="s">
        <v>455</v>
      </c>
      <c r="C98" s="8" t="s">
        <v>1156</v>
      </c>
      <c r="D98" s="9" t="s">
        <v>1157</v>
      </c>
      <c r="E98" s="10"/>
      <c r="F98" s="11" t="s">
        <v>1158</v>
      </c>
      <c r="G98" s="12">
        <f>5+8+8+8+8+9</f>
        <v>46</v>
      </c>
      <c r="H98" s="9" t="s">
        <v>1159</v>
      </c>
      <c r="I98" s="10">
        <f>5+10+9</f>
        <v>24</v>
      </c>
      <c r="J98" s="11" t="s">
        <v>1160</v>
      </c>
      <c r="K98" s="12"/>
      <c r="L98" s="9" t="s">
        <v>1161</v>
      </c>
      <c r="M98" s="10">
        <f>8+7+7+9</f>
        <v>31</v>
      </c>
      <c r="N98" s="11" t="s">
        <v>1162</v>
      </c>
      <c r="O98" s="12"/>
      <c r="P98" s="9" t="s">
        <v>1163</v>
      </c>
      <c r="Q98" s="10"/>
      <c r="R98" s="9" t="s">
        <v>510</v>
      </c>
      <c r="S98" s="10"/>
      <c r="T98" s="9" t="s">
        <v>39</v>
      </c>
      <c r="U98" s="10">
        <f>9+6+7+7</f>
        <v>29</v>
      </c>
      <c r="V98" s="9" t="s">
        <v>1164</v>
      </c>
      <c r="W98" s="12">
        <f>5+7+8</f>
        <v>20</v>
      </c>
      <c r="X98" s="53">
        <f t="shared" si="1"/>
        <v>150</v>
      </c>
    </row>
    <row r="99" spans="1:24" x14ac:dyDescent="0.25">
      <c r="A99" s="6">
        <v>289</v>
      </c>
      <c r="B99" s="7" t="s">
        <v>85</v>
      </c>
      <c r="C99" s="8" t="s">
        <v>1069</v>
      </c>
      <c r="D99" s="9" t="s">
        <v>215</v>
      </c>
      <c r="E99" s="10">
        <v>5</v>
      </c>
      <c r="F99" s="11"/>
      <c r="G99" s="12"/>
      <c r="H99" s="9"/>
      <c r="I99" s="10"/>
      <c r="J99" s="11"/>
      <c r="K99" s="12"/>
      <c r="L99" s="9"/>
      <c r="M99" s="10"/>
      <c r="N99" s="11"/>
      <c r="O99" s="12"/>
      <c r="P99" s="9"/>
      <c r="Q99" s="10"/>
      <c r="R99" s="9"/>
      <c r="S99" s="10"/>
      <c r="T99" s="9"/>
      <c r="U99" s="10"/>
      <c r="V99" s="9"/>
      <c r="W99" s="12"/>
      <c r="X99" s="53">
        <f t="shared" si="1"/>
        <v>5</v>
      </c>
    </row>
    <row r="100" spans="1:24" x14ac:dyDescent="0.25">
      <c r="A100" s="6">
        <v>291</v>
      </c>
      <c r="B100" s="7" t="s">
        <v>147</v>
      </c>
      <c r="C100" s="7" t="s">
        <v>409</v>
      </c>
      <c r="D100" s="9" t="s">
        <v>410</v>
      </c>
      <c r="E100" s="10">
        <f>3+3</f>
        <v>6</v>
      </c>
      <c r="F100" s="11"/>
      <c r="G100" s="12"/>
      <c r="H100" s="9"/>
      <c r="I100" s="10"/>
      <c r="J100" s="11"/>
      <c r="K100" s="12"/>
      <c r="L100" s="9"/>
      <c r="M100" s="10"/>
      <c r="N100" s="11"/>
      <c r="O100" s="12"/>
      <c r="P100" s="9"/>
      <c r="Q100" s="10"/>
      <c r="R100" s="9"/>
      <c r="S100" s="10"/>
      <c r="T100" s="9"/>
      <c r="U100" s="10"/>
      <c r="V100" s="9"/>
      <c r="W100" s="12"/>
      <c r="X100" s="53">
        <f t="shared" si="1"/>
        <v>6</v>
      </c>
    </row>
    <row r="101" spans="1:24" x14ac:dyDescent="0.25">
      <c r="A101" s="6">
        <v>299</v>
      </c>
      <c r="B101" s="7" t="s">
        <v>1084</v>
      </c>
      <c r="C101" s="8" t="s">
        <v>1081</v>
      </c>
      <c r="D101" s="9" t="s">
        <v>215</v>
      </c>
      <c r="E101" s="10"/>
      <c r="F101" s="11"/>
      <c r="G101" s="12"/>
      <c r="H101" s="9"/>
      <c r="I101" s="10"/>
      <c r="J101" s="11"/>
      <c r="K101" s="12"/>
      <c r="L101" s="9"/>
      <c r="M101" s="10"/>
      <c r="N101" s="11"/>
      <c r="O101" s="12"/>
      <c r="P101" s="9"/>
      <c r="Q101" s="10"/>
      <c r="R101" s="9"/>
      <c r="S101" s="10"/>
      <c r="T101" s="9"/>
      <c r="U101" s="10"/>
      <c r="V101" s="9"/>
      <c r="W101" s="12"/>
      <c r="X101" s="53">
        <f t="shared" si="1"/>
        <v>0</v>
      </c>
    </row>
    <row r="102" spans="1:24" x14ac:dyDescent="0.25">
      <c r="A102" s="6">
        <v>301</v>
      </c>
      <c r="B102" s="7" t="s">
        <v>917</v>
      </c>
      <c r="C102" s="8" t="s">
        <v>1048</v>
      </c>
      <c r="D102" s="9" t="s">
        <v>215</v>
      </c>
      <c r="E102" s="10"/>
      <c r="F102" s="11"/>
      <c r="G102" s="12"/>
      <c r="H102" s="9"/>
      <c r="I102" s="10"/>
      <c r="J102" s="11"/>
      <c r="K102" s="12"/>
      <c r="L102" s="9"/>
      <c r="M102" s="10"/>
      <c r="N102" s="11"/>
      <c r="O102" s="12"/>
      <c r="P102" s="9"/>
      <c r="Q102" s="10"/>
      <c r="R102" s="9"/>
      <c r="S102" s="10"/>
      <c r="T102" s="9"/>
      <c r="U102" s="10"/>
      <c r="V102" s="9"/>
      <c r="W102" s="12"/>
      <c r="X102" s="53">
        <f t="shared" si="1"/>
        <v>0</v>
      </c>
    </row>
    <row r="103" spans="1:24" x14ac:dyDescent="0.25">
      <c r="A103" s="6">
        <v>312</v>
      </c>
      <c r="B103" s="7" t="s">
        <v>280</v>
      </c>
      <c r="C103" s="8" t="s">
        <v>584</v>
      </c>
      <c r="D103" s="9" t="s">
        <v>585</v>
      </c>
      <c r="E103" s="10"/>
      <c r="F103" s="11"/>
      <c r="G103" s="12"/>
      <c r="H103" s="9"/>
      <c r="I103" s="10"/>
      <c r="J103" s="11"/>
      <c r="K103" s="12"/>
      <c r="L103" s="9"/>
      <c r="M103" s="10"/>
      <c r="N103" s="11"/>
      <c r="O103" s="12"/>
      <c r="P103" s="9"/>
      <c r="Q103" s="10"/>
      <c r="R103" s="9"/>
      <c r="S103" s="10"/>
      <c r="T103" s="9"/>
      <c r="U103" s="10"/>
      <c r="V103" s="9"/>
      <c r="W103" s="12"/>
      <c r="X103" s="53">
        <f t="shared" si="1"/>
        <v>0</v>
      </c>
    </row>
    <row r="104" spans="1:24" x14ac:dyDescent="0.25">
      <c r="A104" s="6">
        <v>335</v>
      </c>
      <c r="B104" s="7" t="s">
        <v>432</v>
      </c>
      <c r="C104" s="8" t="s">
        <v>433</v>
      </c>
      <c r="D104" s="9" t="s">
        <v>434</v>
      </c>
      <c r="E104" s="10">
        <v>4</v>
      </c>
      <c r="F104" s="11" t="s">
        <v>435</v>
      </c>
      <c r="G104" s="12"/>
      <c r="H104" s="9" t="s">
        <v>436</v>
      </c>
      <c r="I104" s="10">
        <v>6</v>
      </c>
      <c r="J104" s="11" t="s">
        <v>437</v>
      </c>
      <c r="K104" s="12"/>
      <c r="L104" s="9" t="s">
        <v>438</v>
      </c>
      <c r="M104" s="10"/>
      <c r="N104" s="11" t="s">
        <v>439</v>
      </c>
      <c r="O104" s="12">
        <v>3</v>
      </c>
      <c r="P104" s="9" t="s">
        <v>440</v>
      </c>
      <c r="Q104" s="10">
        <f>7+6</f>
        <v>13</v>
      </c>
      <c r="R104" s="9" t="s">
        <v>441</v>
      </c>
      <c r="S104" s="10">
        <f>8+6</f>
        <v>14</v>
      </c>
      <c r="T104" s="9" t="s">
        <v>268</v>
      </c>
      <c r="U104" s="10"/>
      <c r="V104" s="9" t="s">
        <v>442</v>
      </c>
      <c r="W104" s="12"/>
      <c r="X104" s="53">
        <f t="shared" si="1"/>
        <v>40</v>
      </c>
    </row>
    <row r="105" spans="1:24" x14ac:dyDescent="0.25">
      <c r="A105" s="6">
        <v>341</v>
      </c>
      <c r="B105" s="7" t="s">
        <v>176</v>
      </c>
      <c r="C105" s="8" t="s">
        <v>195</v>
      </c>
      <c r="D105" s="9" t="s">
        <v>177</v>
      </c>
      <c r="E105" s="10">
        <v>5</v>
      </c>
      <c r="F105" s="11" t="s">
        <v>52</v>
      </c>
      <c r="G105" s="12">
        <v>5</v>
      </c>
      <c r="H105" s="9" t="s">
        <v>178</v>
      </c>
      <c r="I105" s="10">
        <v>6</v>
      </c>
      <c r="J105" s="11"/>
      <c r="K105" s="12"/>
      <c r="L105" s="9"/>
      <c r="M105" s="10"/>
      <c r="N105" s="11"/>
      <c r="O105" s="12"/>
      <c r="P105" s="9"/>
      <c r="Q105" s="10"/>
      <c r="R105" s="9"/>
      <c r="S105" s="10"/>
      <c r="T105" s="9"/>
      <c r="U105" s="10"/>
      <c r="V105" s="9"/>
      <c r="W105" s="12"/>
      <c r="X105" s="53">
        <f t="shared" si="1"/>
        <v>16</v>
      </c>
    </row>
    <row r="106" spans="1:24" x14ac:dyDescent="0.25">
      <c r="A106" s="6">
        <v>342</v>
      </c>
      <c r="B106" s="7" t="s">
        <v>662</v>
      </c>
      <c r="C106" s="8" t="s">
        <v>663</v>
      </c>
      <c r="D106" s="9" t="s">
        <v>664</v>
      </c>
      <c r="E106" s="10"/>
      <c r="F106" s="11" t="s">
        <v>665</v>
      </c>
      <c r="G106" s="12">
        <v>6</v>
      </c>
      <c r="H106" s="9" t="s">
        <v>666</v>
      </c>
      <c r="I106" s="10">
        <f>6+7</f>
        <v>13</v>
      </c>
      <c r="J106" s="11" t="s">
        <v>667</v>
      </c>
      <c r="K106" s="12"/>
      <c r="L106" s="9" t="s">
        <v>668</v>
      </c>
      <c r="M106" s="10">
        <v>6</v>
      </c>
      <c r="N106" s="11" t="s">
        <v>669</v>
      </c>
      <c r="O106" s="12">
        <v>7</v>
      </c>
      <c r="P106" s="9" t="s">
        <v>670</v>
      </c>
      <c r="Q106" s="10">
        <f>7+8+6</f>
        <v>21</v>
      </c>
      <c r="R106" s="9" t="s">
        <v>671</v>
      </c>
      <c r="S106" s="10">
        <v>8</v>
      </c>
      <c r="T106" s="9" t="s">
        <v>672</v>
      </c>
      <c r="U106" s="10"/>
      <c r="V106" s="9" t="s">
        <v>673</v>
      </c>
      <c r="W106" s="12"/>
      <c r="X106" s="53">
        <f t="shared" si="1"/>
        <v>61</v>
      </c>
    </row>
    <row r="107" spans="1:24" x14ac:dyDescent="0.25">
      <c r="A107" s="6">
        <v>344</v>
      </c>
      <c r="B107" s="7" t="s">
        <v>127</v>
      </c>
      <c r="C107" s="8" t="s">
        <v>1466</v>
      </c>
      <c r="D107" s="9" t="s">
        <v>215</v>
      </c>
      <c r="E107" s="10">
        <v>5</v>
      </c>
      <c r="F107" s="11"/>
      <c r="G107" s="12"/>
      <c r="H107" s="9"/>
      <c r="I107" s="10"/>
      <c r="J107" s="11"/>
      <c r="K107" s="12"/>
      <c r="L107" s="9"/>
      <c r="M107" s="10"/>
      <c r="N107" s="11"/>
      <c r="O107" s="12"/>
      <c r="P107" s="9"/>
      <c r="Q107" s="10"/>
      <c r="R107" s="9"/>
      <c r="S107" s="10"/>
      <c r="T107" s="9"/>
      <c r="U107" s="10"/>
      <c r="V107" s="9"/>
      <c r="W107" s="12"/>
      <c r="X107" s="53">
        <f t="shared" si="1"/>
        <v>5</v>
      </c>
    </row>
    <row r="108" spans="1:24" x14ac:dyDescent="0.25">
      <c r="A108" s="6">
        <v>346</v>
      </c>
      <c r="B108" s="7" t="s">
        <v>260</v>
      </c>
      <c r="C108" s="8" t="s">
        <v>261</v>
      </c>
      <c r="D108" s="9" t="s">
        <v>236</v>
      </c>
      <c r="E108" s="10"/>
      <c r="F108" s="11" t="s">
        <v>262</v>
      </c>
      <c r="G108" s="12"/>
      <c r="H108" s="9" t="s">
        <v>263</v>
      </c>
      <c r="I108" s="10"/>
      <c r="J108" s="11" t="s">
        <v>264</v>
      </c>
      <c r="K108" s="12"/>
      <c r="L108" s="9" t="s">
        <v>180</v>
      </c>
      <c r="M108" s="10"/>
      <c r="N108" s="11" t="s">
        <v>141</v>
      </c>
      <c r="O108" s="12"/>
      <c r="P108" s="9"/>
      <c r="Q108" s="10"/>
      <c r="R108" s="9"/>
      <c r="S108" s="10"/>
      <c r="T108" s="9"/>
      <c r="U108" s="10"/>
      <c r="V108" s="9"/>
      <c r="W108" s="12"/>
      <c r="X108" s="53">
        <f t="shared" si="1"/>
        <v>0</v>
      </c>
    </row>
    <row r="109" spans="1:24" x14ac:dyDescent="0.25">
      <c r="A109" s="6">
        <v>350</v>
      </c>
      <c r="B109" s="7" t="s">
        <v>1463</v>
      </c>
      <c r="C109" s="8" t="s">
        <v>1464</v>
      </c>
      <c r="D109" s="9" t="s">
        <v>681</v>
      </c>
      <c r="E109" s="10">
        <f>5+7+10+8</f>
        <v>30</v>
      </c>
      <c r="F109" s="11" t="s">
        <v>1465</v>
      </c>
      <c r="G109" s="12">
        <v>8</v>
      </c>
      <c r="H109" s="9"/>
      <c r="I109" s="10"/>
      <c r="J109" s="11"/>
      <c r="K109" s="12"/>
      <c r="L109" s="9"/>
      <c r="M109" s="10"/>
      <c r="N109" s="11"/>
      <c r="O109" s="12"/>
      <c r="P109" s="9"/>
      <c r="Q109" s="10"/>
      <c r="R109" s="9"/>
      <c r="S109" s="10"/>
      <c r="T109" s="9"/>
      <c r="U109" s="10"/>
      <c r="V109" s="9"/>
      <c r="W109" s="12"/>
      <c r="X109" s="53">
        <f t="shared" si="1"/>
        <v>38</v>
      </c>
    </row>
    <row r="110" spans="1:24" x14ac:dyDescent="0.25">
      <c r="A110" s="6">
        <v>351</v>
      </c>
      <c r="B110" s="7" t="s">
        <v>387</v>
      </c>
      <c r="C110" s="8" t="s">
        <v>388</v>
      </c>
      <c r="D110" s="9" t="s">
        <v>389</v>
      </c>
      <c r="E110" s="10">
        <f>4+8</f>
        <v>12</v>
      </c>
      <c r="F110" s="11" t="s">
        <v>390</v>
      </c>
      <c r="G110" s="12">
        <v>6</v>
      </c>
      <c r="H110" s="9" t="s">
        <v>391</v>
      </c>
      <c r="I110" s="10">
        <f>5+4</f>
        <v>9</v>
      </c>
      <c r="J110" s="11"/>
      <c r="K110" s="12"/>
      <c r="L110" s="9"/>
      <c r="M110" s="10"/>
      <c r="N110" s="11"/>
      <c r="O110" s="12"/>
      <c r="P110" s="9"/>
      <c r="Q110" s="10"/>
      <c r="R110" s="9"/>
      <c r="S110" s="10"/>
      <c r="T110" s="9"/>
      <c r="U110" s="10"/>
      <c r="V110" s="9"/>
      <c r="W110" s="12"/>
      <c r="X110" s="53">
        <f t="shared" si="1"/>
        <v>27</v>
      </c>
    </row>
    <row r="111" spans="1:24" x14ac:dyDescent="0.25">
      <c r="A111" s="6">
        <v>357</v>
      </c>
      <c r="B111" s="7" t="s">
        <v>336</v>
      </c>
      <c r="C111" s="8" t="s">
        <v>337</v>
      </c>
      <c r="D111" s="9" t="s">
        <v>338</v>
      </c>
      <c r="E111" s="10">
        <v>8</v>
      </c>
      <c r="F111" s="11" t="s">
        <v>339</v>
      </c>
      <c r="G111" s="12"/>
      <c r="H111" s="9" t="s">
        <v>340</v>
      </c>
      <c r="I111" s="10">
        <v>5</v>
      </c>
      <c r="J111" s="11"/>
      <c r="K111" s="12"/>
      <c r="L111" s="9"/>
      <c r="M111" s="10"/>
      <c r="N111" s="11"/>
      <c r="O111" s="12"/>
      <c r="P111" s="9"/>
      <c r="Q111" s="10"/>
      <c r="R111" s="9"/>
      <c r="S111" s="10"/>
      <c r="T111" s="9"/>
      <c r="U111" s="10"/>
      <c r="V111" s="9"/>
      <c r="W111" s="12"/>
      <c r="X111" s="53">
        <f t="shared" si="1"/>
        <v>13</v>
      </c>
    </row>
    <row r="112" spans="1:24" x14ac:dyDescent="0.25">
      <c r="A112" s="6">
        <v>358</v>
      </c>
      <c r="B112" s="7" t="s">
        <v>213</v>
      </c>
      <c r="C112" s="8" t="s">
        <v>359</v>
      </c>
      <c r="D112" s="9" t="s">
        <v>360</v>
      </c>
      <c r="E112" s="10"/>
      <c r="F112" s="11" t="s">
        <v>361</v>
      </c>
      <c r="G112" s="12"/>
      <c r="H112" s="9" t="s">
        <v>362</v>
      </c>
      <c r="I112" s="10"/>
      <c r="J112" s="11"/>
      <c r="K112" s="12"/>
      <c r="L112" s="9"/>
      <c r="M112" s="10"/>
      <c r="N112" s="11"/>
      <c r="O112" s="12"/>
      <c r="P112" s="9"/>
      <c r="Q112" s="10"/>
      <c r="R112" s="9"/>
      <c r="S112" s="10"/>
      <c r="T112" s="9"/>
      <c r="U112" s="10"/>
      <c r="V112" s="9"/>
      <c r="W112" s="12"/>
      <c r="X112" s="53">
        <f t="shared" si="1"/>
        <v>0</v>
      </c>
    </row>
    <row r="113" spans="1:24" x14ac:dyDescent="0.25">
      <c r="A113" s="6">
        <v>359</v>
      </c>
      <c r="B113" s="7" t="s">
        <v>363</v>
      </c>
      <c r="C113" s="8" t="s">
        <v>337</v>
      </c>
      <c r="D113" s="9" t="s">
        <v>364</v>
      </c>
      <c r="E113" s="10">
        <v>9</v>
      </c>
      <c r="F113" s="11" t="s">
        <v>365</v>
      </c>
      <c r="G113" s="12">
        <v>7</v>
      </c>
      <c r="H113" s="9" t="s">
        <v>366</v>
      </c>
      <c r="I113" s="10">
        <v>6</v>
      </c>
      <c r="J113" s="11"/>
      <c r="K113" s="12"/>
      <c r="L113" s="9"/>
      <c r="M113" s="10"/>
      <c r="N113" s="11"/>
      <c r="O113" s="12"/>
      <c r="P113" s="9"/>
      <c r="Q113" s="10"/>
      <c r="R113" s="9"/>
      <c r="S113" s="10"/>
      <c r="T113" s="9"/>
      <c r="U113" s="10"/>
      <c r="V113" s="9"/>
      <c r="W113" s="12"/>
      <c r="X113" s="53">
        <f t="shared" si="1"/>
        <v>22</v>
      </c>
    </row>
    <row r="114" spans="1:24" x14ac:dyDescent="0.25">
      <c r="A114" s="6">
        <v>360</v>
      </c>
      <c r="B114" s="7" t="s">
        <v>1089</v>
      </c>
      <c r="C114" s="8" t="s">
        <v>1217</v>
      </c>
      <c r="D114" s="9" t="s">
        <v>1218</v>
      </c>
      <c r="E114" s="10">
        <v>8</v>
      </c>
      <c r="F114" s="11" t="s">
        <v>1219</v>
      </c>
      <c r="G114" s="12"/>
      <c r="H114" s="9" t="s">
        <v>1220</v>
      </c>
      <c r="I114" s="10">
        <v>6</v>
      </c>
      <c r="J114" s="11" t="s">
        <v>1221</v>
      </c>
      <c r="K114" s="12"/>
      <c r="L114" s="9" t="s">
        <v>1222</v>
      </c>
      <c r="M114" s="10"/>
      <c r="N114" s="11" t="s">
        <v>1223</v>
      </c>
      <c r="O114" s="12"/>
      <c r="P114" s="9" t="s">
        <v>1224</v>
      </c>
      <c r="Q114" s="10">
        <v>6</v>
      </c>
      <c r="R114" s="9" t="s">
        <v>1225</v>
      </c>
      <c r="S114" s="10"/>
      <c r="T114" s="9" t="s">
        <v>1226</v>
      </c>
      <c r="U114" s="10"/>
      <c r="V114" s="9" t="s">
        <v>1227</v>
      </c>
      <c r="W114" s="12"/>
      <c r="X114" s="53">
        <f t="shared" si="1"/>
        <v>20</v>
      </c>
    </row>
    <row r="115" spans="1:24" x14ac:dyDescent="0.25">
      <c r="A115" s="6">
        <v>361</v>
      </c>
      <c r="B115" s="7" t="s">
        <v>1357</v>
      </c>
      <c r="C115" s="8" t="s">
        <v>1356</v>
      </c>
      <c r="D115" s="9" t="s">
        <v>1314</v>
      </c>
      <c r="E115" s="10">
        <v>5</v>
      </c>
      <c r="F115" s="11" t="s">
        <v>1315</v>
      </c>
      <c r="G115" s="12">
        <f>5+7+6</f>
        <v>18</v>
      </c>
      <c r="H115" s="9" t="s">
        <v>1316</v>
      </c>
      <c r="I115" s="10">
        <f>8+6+4+8+5</f>
        <v>31</v>
      </c>
      <c r="J115" s="11" t="s">
        <v>1317</v>
      </c>
      <c r="K115" s="12">
        <f>4+6+7</f>
        <v>17</v>
      </c>
      <c r="L115" s="9" t="s">
        <v>1318</v>
      </c>
      <c r="M115" s="10">
        <v>4</v>
      </c>
      <c r="N115" s="11" t="s">
        <v>1319</v>
      </c>
      <c r="O115" s="12"/>
      <c r="P115" s="9"/>
      <c r="Q115" s="10"/>
      <c r="R115" s="9"/>
      <c r="S115" s="10"/>
      <c r="T115" s="9"/>
      <c r="U115" s="10"/>
      <c r="V115" s="9"/>
      <c r="W115" s="12"/>
      <c r="X115" s="53">
        <f t="shared" si="1"/>
        <v>75</v>
      </c>
    </row>
    <row r="116" spans="1:24" x14ac:dyDescent="0.25">
      <c r="A116" s="6">
        <v>362</v>
      </c>
      <c r="B116" s="7" t="s">
        <v>1320</v>
      </c>
      <c r="C116" s="8" t="s">
        <v>1321</v>
      </c>
      <c r="D116" s="9" t="s">
        <v>1322</v>
      </c>
      <c r="E116" s="10">
        <f>5+6</f>
        <v>11</v>
      </c>
      <c r="F116" s="11" t="s">
        <v>1323</v>
      </c>
      <c r="G116" s="12">
        <v>7</v>
      </c>
      <c r="H116" s="9"/>
      <c r="I116" s="10"/>
      <c r="J116" s="11"/>
      <c r="K116" s="12"/>
      <c r="L116" s="9"/>
      <c r="M116" s="10"/>
      <c r="N116" s="11"/>
      <c r="O116" s="12"/>
      <c r="P116" s="9"/>
      <c r="Q116" s="10"/>
      <c r="R116" s="9"/>
      <c r="S116" s="10"/>
      <c r="T116" s="9"/>
      <c r="U116" s="10"/>
      <c r="V116" s="9"/>
      <c r="W116" s="12"/>
      <c r="X116" s="53">
        <f t="shared" si="1"/>
        <v>18</v>
      </c>
    </row>
    <row r="117" spans="1:24" x14ac:dyDescent="0.25">
      <c r="A117" s="6">
        <v>363</v>
      </c>
      <c r="B117" s="7" t="s">
        <v>1312</v>
      </c>
      <c r="C117" s="8" t="s">
        <v>1313</v>
      </c>
      <c r="D117" s="9" t="s">
        <v>1439</v>
      </c>
      <c r="E117" s="10"/>
      <c r="F117" s="11" t="s">
        <v>1440</v>
      </c>
      <c r="G117" s="12"/>
      <c r="H117" s="9" t="s">
        <v>1441</v>
      </c>
      <c r="I117" s="10">
        <v>5</v>
      </c>
      <c r="J117" s="11" t="s">
        <v>1442</v>
      </c>
      <c r="K117" s="12">
        <v>5</v>
      </c>
      <c r="L117" s="9" t="s">
        <v>1443</v>
      </c>
      <c r="M117" s="10"/>
      <c r="N117" s="11" t="s">
        <v>1444</v>
      </c>
      <c r="O117" s="12"/>
      <c r="P117" s="9" t="s">
        <v>303</v>
      </c>
      <c r="Q117" s="10"/>
      <c r="R117" s="9" t="s">
        <v>84</v>
      </c>
      <c r="S117" s="10"/>
      <c r="T117" s="9" t="s">
        <v>725</v>
      </c>
      <c r="U117" s="10">
        <v>7</v>
      </c>
      <c r="V117" s="9" t="s">
        <v>1445</v>
      </c>
      <c r="W117" s="12"/>
      <c r="X117" s="53">
        <f t="shared" si="1"/>
        <v>17</v>
      </c>
    </row>
    <row r="118" spans="1:24" x14ac:dyDescent="0.25">
      <c r="A118" s="6">
        <v>364</v>
      </c>
      <c r="B118" s="7" t="s">
        <v>45</v>
      </c>
      <c r="C118" s="8" t="s">
        <v>1446</v>
      </c>
      <c r="D118" s="9" t="s">
        <v>1447</v>
      </c>
      <c r="E118" s="10">
        <v>5</v>
      </c>
      <c r="F118" s="11" t="s">
        <v>1448</v>
      </c>
      <c r="G118" s="12">
        <v>7</v>
      </c>
      <c r="H118" s="9" t="s">
        <v>1449</v>
      </c>
      <c r="I118" s="10">
        <v>5</v>
      </c>
      <c r="J118" s="11" t="s">
        <v>156</v>
      </c>
      <c r="K118" s="12"/>
      <c r="L118" s="9" t="s">
        <v>1327</v>
      </c>
      <c r="M118" s="10"/>
      <c r="N118" s="11" t="s">
        <v>153</v>
      </c>
      <c r="O118" s="12"/>
      <c r="P118" s="9" t="s">
        <v>1450</v>
      </c>
      <c r="Q118" s="10"/>
      <c r="R118" s="9" t="s">
        <v>1451</v>
      </c>
      <c r="S118" s="10"/>
      <c r="T118" s="9" t="s">
        <v>1452</v>
      </c>
      <c r="U118" s="10">
        <v>6</v>
      </c>
      <c r="V118" s="9" t="s">
        <v>787</v>
      </c>
      <c r="W118" s="12"/>
      <c r="X118" s="53">
        <f t="shared" si="1"/>
        <v>23</v>
      </c>
    </row>
    <row r="119" spans="1:24" x14ac:dyDescent="0.25">
      <c r="A119" s="6">
        <v>365</v>
      </c>
      <c r="B119" s="7" t="s">
        <v>127</v>
      </c>
      <c r="C119" s="8" t="s">
        <v>939</v>
      </c>
      <c r="D119" s="9" t="s">
        <v>940</v>
      </c>
      <c r="E119" s="10"/>
      <c r="F119" s="11"/>
      <c r="G119" s="12"/>
      <c r="H119" s="9"/>
      <c r="I119" s="10"/>
      <c r="J119" s="11"/>
      <c r="K119" s="12"/>
      <c r="L119" s="9"/>
      <c r="M119" s="10"/>
      <c r="N119" s="11"/>
      <c r="O119" s="12"/>
      <c r="P119" s="9"/>
      <c r="Q119" s="10"/>
      <c r="R119" s="9"/>
      <c r="S119" s="10"/>
      <c r="T119" s="9"/>
      <c r="U119" s="10"/>
      <c r="V119" s="9"/>
      <c r="W119" s="12"/>
      <c r="X119" s="53">
        <f t="shared" si="1"/>
        <v>0</v>
      </c>
    </row>
    <row r="120" spans="1:24" x14ac:dyDescent="0.25">
      <c r="A120" s="6">
        <v>368</v>
      </c>
      <c r="B120" s="7" t="s">
        <v>324</v>
      </c>
      <c r="C120" s="8" t="s">
        <v>1334</v>
      </c>
      <c r="D120" s="9" t="s">
        <v>215</v>
      </c>
      <c r="E120" s="10"/>
      <c r="F120" s="11" t="s">
        <v>457</v>
      </c>
      <c r="G120" s="12"/>
      <c r="H120" s="9" t="s">
        <v>458</v>
      </c>
      <c r="I120" s="10">
        <v>7</v>
      </c>
      <c r="J120" s="11"/>
      <c r="K120" s="12"/>
      <c r="L120" s="9"/>
      <c r="M120" s="10"/>
      <c r="N120" s="11"/>
      <c r="O120" s="12"/>
      <c r="P120" s="9"/>
      <c r="Q120" s="10"/>
      <c r="R120" s="9"/>
      <c r="S120" s="10"/>
      <c r="T120" s="9"/>
      <c r="U120" s="10"/>
      <c r="V120" s="9"/>
      <c r="W120" s="12"/>
      <c r="X120" s="53">
        <f t="shared" si="1"/>
        <v>7</v>
      </c>
    </row>
    <row r="121" spans="1:24" x14ac:dyDescent="0.25">
      <c r="A121" s="6">
        <v>369</v>
      </c>
      <c r="B121" s="7" t="s">
        <v>915</v>
      </c>
      <c r="C121" s="8" t="s">
        <v>916</v>
      </c>
      <c r="D121" s="9" t="s">
        <v>1355</v>
      </c>
      <c r="E121" s="10"/>
      <c r="F121" s="11"/>
      <c r="G121" s="12"/>
      <c r="H121" s="9"/>
      <c r="I121" s="10"/>
      <c r="J121" s="11"/>
      <c r="K121" s="12"/>
      <c r="L121" s="9"/>
      <c r="M121" s="10"/>
      <c r="N121" s="11"/>
      <c r="O121" s="12"/>
      <c r="P121" s="9"/>
      <c r="Q121" s="10"/>
      <c r="R121" s="9"/>
      <c r="S121" s="10"/>
      <c r="T121" s="9"/>
      <c r="U121" s="10"/>
      <c r="V121" s="9"/>
      <c r="W121" s="12"/>
      <c r="X121" s="53">
        <f t="shared" si="1"/>
        <v>0</v>
      </c>
    </row>
    <row r="122" spans="1:24" x14ac:dyDescent="0.25">
      <c r="A122" s="6">
        <v>370</v>
      </c>
      <c r="B122" s="7" t="s">
        <v>40</v>
      </c>
      <c r="C122" s="8" t="s">
        <v>320</v>
      </c>
      <c r="D122" s="9" t="s">
        <v>322</v>
      </c>
      <c r="E122" s="10">
        <v>6</v>
      </c>
      <c r="F122" s="11" t="s">
        <v>323</v>
      </c>
      <c r="G122" s="12">
        <v>5</v>
      </c>
      <c r="H122" s="9" t="s">
        <v>181</v>
      </c>
      <c r="I122" s="10">
        <f>6+2</f>
        <v>8</v>
      </c>
      <c r="J122" s="11"/>
      <c r="K122" s="12"/>
      <c r="L122" s="9"/>
      <c r="M122" s="10"/>
      <c r="N122" s="11"/>
      <c r="O122" s="12"/>
      <c r="P122" s="9"/>
      <c r="Q122" s="10"/>
      <c r="R122" s="9"/>
      <c r="S122" s="10"/>
      <c r="T122" s="9"/>
      <c r="U122" s="10"/>
      <c r="V122" s="9"/>
      <c r="W122" s="12"/>
      <c r="X122" s="53">
        <f t="shared" si="1"/>
        <v>19</v>
      </c>
    </row>
    <row r="123" spans="1:24" x14ac:dyDescent="0.25">
      <c r="A123" s="6">
        <v>372</v>
      </c>
      <c r="B123" s="7" t="s">
        <v>313</v>
      </c>
      <c r="C123" s="8" t="s">
        <v>314</v>
      </c>
      <c r="D123" s="9" t="s">
        <v>315</v>
      </c>
      <c r="E123" s="10">
        <v>3</v>
      </c>
      <c r="F123" s="11" t="s">
        <v>316</v>
      </c>
      <c r="G123" s="12">
        <f>6+10+9+6</f>
        <v>31</v>
      </c>
      <c r="H123" s="9" t="s">
        <v>317</v>
      </c>
      <c r="I123" s="10">
        <v>7</v>
      </c>
      <c r="J123" s="11" t="s">
        <v>318</v>
      </c>
      <c r="K123" s="12">
        <f>8+6</f>
        <v>14</v>
      </c>
      <c r="L123" s="9" t="s">
        <v>181</v>
      </c>
      <c r="M123" s="10"/>
      <c r="N123" s="11"/>
      <c r="O123" s="12"/>
      <c r="P123" s="9"/>
      <c r="Q123" s="10"/>
      <c r="R123" s="9"/>
      <c r="S123" s="10"/>
      <c r="T123" s="9"/>
      <c r="U123" s="10"/>
      <c r="V123" s="9"/>
      <c r="W123" s="12"/>
      <c r="X123" s="53">
        <f t="shared" si="1"/>
        <v>55</v>
      </c>
    </row>
    <row r="124" spans="1:24" x14ac:dyDescent="0.25">
      <c r="A124" s="6">
        <v>373</v>
      </c>
      <c r="B124" s="7" t="s">
        <v>129</v>
      </c>
      <c r="C124" s="8" t="s">
        <v>1252</v>
      </c>
      <c r="D124" s="9" t="s">
        <v>262</v>
      </c>
      <c r="E124" s="10">
        <v>6</v>
      </c>
      <c r="F124" s="11" t="s">
        <v>1253</v>
      </c>
      <c r="G124" s="12">
        <v>6</v>
      </c>
      <c r="H124" s="9" t="s">
        <v>1254</v>
      </c>
      <c r="I124" s="10">
        <f>7+4</f>
        <v>11</v>
      </c>
      <c r="J124" s="11"/>
      <c r="K124" s="12"/>
      <c r="L124" s="9"/>
      <c r="M124" s="10"/>
      <c r="N124" s="11"/>
      <c r="O124" s="12"/>
      <c r="P124" s="9"/>
      <c r="Q124" s="10"/>
      <c r="R124" s="9"/>
      <c r="S124" s="10"/>
      <c r="T124" s="9"/>
      <c r="U124" s="10"/>
      <c r="V124" s="9"/>
      <c r="W124" s="12"/>
      <c r="X124" s="53">
        <f t="shared" si="1"/>
        <v>23</v>
      </c>
    </row>
    <row r="125" spans="1:24" x14ac:dyDescent="0.25">
      <c r="A125" s="6">
        <v>374</v>
      </c>
      <c r="B125" s="7" t="s">
        <v>265</v>
      </c>
      <c r="C125" s="8" t="s">
        <v>266</v>
      </c>
      <c r="D125" s="9" t="s">
        <v>267</v>
      </c>
      <c r="E125" s="10">
        <v>4</v>
      </c>
      <c r="F125" s="11" t="s">
        <v>268</v>
      </c>
      <c r="G125" s="12">
        <v>5</v>
      </c>
      <c r="H125" s="9" t="s">
        <v>269</v>
      </c>
      <c r="I125" s="10">
        <f>6+8+6</f>
        <v>20</v>
      </c>
      <c r="J125" s="11" t="s">
        <v>270</v>
      </c>
      <c r="K125" s="12"/>
      <c r="L125" s="9" t="s">
        <v>271</v>
      </c>
      <c r="M125" s="10">
        <f>10+5</f>
        <v>15</v>
      </c>
      <c r="N125" s="11" t="s">
        <v>272</v>
      </c>
      <c r="O125" s="12"/>
      <c r="P125" s="9" t="s">
        <v>273</v>
      </c>
      <c r="Q125" s="10">
        <v>8</v>
      </c>
      <c r="R125" s="9" t="s">
        <v>274</v>
      </c>
      <c r="S125" s="10"/>
      <c r="T125" s="9"/>
      <c r="U125" s="10"/>
      <c r="V125" s="9"/>
      <c r="W125" s="12"/>
      <c r="X125" s="53">
        <f t="shared" si="1"/>
        <v>52</v>
      </c>
    </row>
    <row r="126" spans="1:24" x14ac:dyDescent="0.25">
      <c r="A126" s="6">
        <v>375</v>
      </c>
      <c r="B126" s="7" t="s">
        <v>765</v>
      </c>
      <c r="C126" s="8" t="s">
        <v>766</v>
      </c>
      <c r="D126" s="9" t="s">
        <v>767</v>
      </c>
      <c r="E126" s="10">
        <f>6+7</f>
        <v>13</v>
      </c>
      <c r="F126" s="11" t="s">
        <v>768</v>
      </c>
      <c r="G126" s="12">
        <v>8</v>
      </c>
      <c r="H126" s="9" t="s">
        <v>757</v>
      </c>
      <c r="I126" s="10">
        <v>3</v>
      </c>
      <c r="J126" s="11" t="s">
        <v>769</v>
      </c>
      <c r="K126" s="12">
        <f>7+5</f>
        <v>12</v>
      </c>
      <c r="L126" s="9" t="s">
        <v>611</v>
      </c>
      <c r="M126" s="10">
        <f>8+9</f>
        <v>17</v>
      </c>
      <c r="N126" s="11" t="s">
        <v>770</v>
      </c>
      <c r="O126" s="12"/>
      <c r="P126" s="9" t="s">
        <v>771</v>
      </c>
      <c r="Q126" s="10">
        <f>6+4</f>
        <v>10</v>
      </c>
      <c r="R126" s="9" t="s">
        <v>772</v>
      </c>
      <c r="S126" s="10">
        <f>6+8+9+10+8</f>
        <v>41</v>
      </c>
      <c r="T126" s="9" t="s">
        <v>479</v>
      </c>
      <c r="U126" s="10">
        <v>6</v>
      </c>
      <c r="V126" s="9" t="s">
        <v>773</v>
      </c>
      <c r="W126" s="12">
        <f>6+8</f>
        <v>14</v>
      </c>
      <c r="X126" s="53">
        <f t="shared" si="1"/>
        <v>124</v>
      </c>
    </row>
    <row r="127" spans="1:24" x14ac:dyDescent="0.25">
      <c r="A127" s="6">
        <v>377</v>
      </c>
      <c r="B127" s="7" t="s">
        <v>129</v>
      </c>
      <c r="C127" s="8" t="s">
        <v>541</v>
      </c>
      <c r="D127" s="9" t="s">
        <v>542</v>
      </c>
      <c r="E127" s="10">
        <v>8</v>
      </c>
      <c r="F127" s="11" t="s">
        <v>543</v>
      </c>
      <c r="G127" s="12"/>
      <c r="H127" s="9" t="s">
        <v>544</v>
      </c>
      <c r="I127" s="10">
        <v>7</v>
      </c>
      <c r="J127" s="11" t="s">
        <v>545</v>
      </c>
      <c r="K127" s="12">
        <v>5</v>
      </c>
      <c r="L127" s="9" t="s">
        <v>546</v>
      </c>
      <c r="M127" s="10"/>
      <c r="N127" s="11" t="s">
        <v>547</v>
      </c>
      <c r="O127" s="12"/>
      <c r="P127" s="9" t="s">
        <v>548</v>
      </c>
      <c r="Q127" s="10"/>
      <c r="R127" s="9" t="s">
        <v>549</v>
      </c>
      <c r="S127" s="10">
        <v>7</v>
      </c>
      <c r="T127" s="9" t="s">
        <v>77</v>
      </c>
      <c r="U127" s="10"/>
      <c r="V127" s="9" t="s">
        <v>550</v>
      </c>
      <c r="W127" s="12">
        <f>7+8</f>
        <v>15</v>
      </c>
      <c r="X127" s="53">
        <f t="shared" si="1"/>
        <v>42</v>
      </c>
    </row>
    <row r="128" spans="1:24" x14ac:dyDescent="0.25">
      <c r="A128" s="6">
        <v>378</v>
      </c>
      <c r="B128" s="7" t="s">
        <v>200</v>
      </c>
      <c r="C128" s="8" t="s">
        <v>325</v>
      </c>
      <c r="D128" s="9" t="s">
        <v>326</v>
      </c>
      <c r="E128" s="10">
        <v>6</v>
      </c>
      <c r="F128" s="11" t="s">
        <v>327</v>
      </c>
      <c r="G128" s="12">
        <f>3+8</f>
        <v>11</v>
      </c>
      <c r="H128" s="9" t="s">
        <v>328</v>
      </c>
      <c r="I128" s="10"/>
      <c r="J128" s="11" t="s">
        <v>329</v>
      </c>
      <c r="K128" s="12"/>
      <c r="L128" s="9" t="s">
        <v>330</v>
      </c>
      <c r="M128" s="10"/>
      <c r="N128" s="11" t="s">
        <v>331</v>
      </c>
      <c r="O128" s="12">
        <v>7</v>
      </c>
      <c r="P128" s="9" t="s">
        <v>159</v>
      </c>
      <c r="Q128" s="10"/>
      <c r="R128" s="9" t="s">
        <v>332</v>
      </c>
      <c r="S128" s="10"/>
      <c r="T128" s="9" t="s">
        <v>333</v>
      </c>
      <c r="U128" s="10"/>
      <c r="V128" s="9"/>
      <c r="W128" s="12"/>
      <c r="X128" s="53">
        <f t="shared" si="1"/>
        <v>24</v>
      </c>
    </row>
    <row r="129" spans="1:24" x14ac:dyDescent="0.25">
      <c r="A129" s="6">
        <v>379</v>
      </c>
      <c r="B129" s="7" t="s">
        <v>219</v>
      </c>
      <c r="C129" s="8" t="s">
        <v>220</v>
      </c>
      <c r="D129" s="9" t="s">
        <v>221</v>
      </c>
      <c r="E129" s="10">
        <v>7</v>
      </c>
      <c r="F129" s="11" t="s">
        <v>222</v>
      </c>
      <c r="G129" s="12"/>
      <c r="H129" s="9" t="s">
        <v>223</v>
      </c>
      <c r="I129" s="10">
        <v>8</v>
      </c>
      <c r="J129" s="11" t="s">
        <v>224</v>
      </c>
      <c r="K129" s="12"/>
      <c r="L129" s="9" t="s">
        <v>225</v>
      </c>
      <c r="M129" s="10"/>
      <c r="N129" s="11" t="s">
        <v>226</v>
      </c>
      <c r="O129" s="12">
        <v>5</v>
      </c>
      <c r="P129" s="9" t="s">
        <v>227</v>
      </c>
      <c r="Q129" s="10"/>
      <c r="R129" s="9" t="s">
        <v>228</v>
      </c>
      <c r="S129" s="10"/>
      <c r="T129" s="9"/>
      <c r="U129" s="10"/>
      <c r="V129" s="9"/>
      <c r="W129" s="12"/>
      <c r="X129" s="53">
        <f t="shared" si="1"/>
        <v>20</v>
      </c>
    </row>
    <row r="130" spans="1:24" x14ac:dyDescent="0.25">
      <c r="A130" s="6">
        <v>382</v>
      </c>
      <c r="B130" s="7" t="s">
        <v>129</v>
      </c>
      <c r="C130" s="8" t="s">
        <v>206</v>
      </c>
      <c r="D130" s="9" t="s">
        <v>207</v>
      </c>
      <c r="E130" s="10">
        <v>7</v>
      </c>
      <c r="F130" s="11" t="s">
        <v>208</v>
      </c>
      <c r="G130" s="12">
        <f>6+6</f>
        <v>12</v>
      </c>
      <c r="H130" s="9"/>
      <c r="I130" s="10"/>
      <c r="J130" s="11"/>
      <c r="K130" s="12"/>
      <c r="L130" s="9"/>
      <c r="M130" s="10"/>
      <c r="N130" s="11"/>
      <c r="O130" s="12"/>
      <c r="P130" s="9"/>
      <c r="Q130" s="10"/>
      <c r="R130" s="9"/>
      <c r="S130" s="10"/>
      <c r="T130" s="9"/>
      <c r="U130" s="10"/>
      <c r="V130" s="9"/>
      <c r="W130" s="12"/>
      <c r="X130" s="53">
        <f t="shared" si="1"/>
        <v>19</v>
      </c>
    </row>
    <row r="131" spans="1:24" x14ac:dyDescent="0.25">
      <c r="A131" s="6">
        <v>383</v>
      </c>
      <c r="B131" s="7" t="s">
        <v>94</v>
      </c>
      <c r="C131" s="8" t="s">
        <v>206</v>
      </c>
      <c r="D131" s="9" t="s">
        <v>1478</v>
      </c>
      <c r="E131" s="10">
        <v>9</v>
      </c>
      <c r="F131" s="11" t="s">
        <v>1479</v>
      </c>
      <c r="G131" s="12"/>
      <c r="H131" s="9" t="s">
        <v>1480</v>
      </c>
      <c r="I131" s="10"/>
      <c r="J131" s="11" t="s">
        <v>945</v>
      </c>
      <c r="K131" s="12"/>
      <c r="L131" s="9" t="s">
        <v>1481</v>
      </c>
      <c r="M131" s="10">
        <v>9</v>
      </c>
      <c r="N131" s="11" t="s">
        <v>1482</v>
      </c>
      <c r="O131" s="12">
        <v>6</v>
      </c>
      <c r="P131" s="9" t="s">
        <v>1483</v>
      </c>
      <c r="Q131" s="10"/>
      <c r="R131" s="9" t="s">
        <v>1484</v>
      </c>
      <c r="S131" s="10">
        <v>9</v>
      </c>
      <c r="T131" s="9" t="s">
        <v>1485</v>
      </c>
      <c r="U131" s="10"/>
      <c r="V131" s="9"/>
      <c r="W131" s="12"/>
      <c r="X131" s="53">
        <f t="shared" si="1"/>
        <v>33</v>
      </c>
    </row>
    <row r="132" spans="1:24" x14ac:dyDescent="0.25">
      <c r="A132" s="6">
        <v>384</v>
      </c>
      <c r="B132" s="7" t="s">
        <v>341</v>
      </c>
      <c r="C132" s="8" t="s">
        <v>342</v>
      </c>
      <c r="D132" s="9" t="s">
        <v>343</v>
      </c>
      <c r="E132" s="10">
        <f>6+6+7+8+8+4+4</f>
        <v>43</v>
      </c>
      <c r="F132" s="11" t="s">
        <v>414</v>
      </c>
      <c r="G132" s="12">
        <f>8+6+10+10+9+6</f>
        <v>49</v>
      </c>
      <c r="H132" s="9" t="s">
        <v>415</v>
      </c>
      <c r="I132" s="10">
        <f>3+6</f>
        <v>9</v>
      </c>
      <c r="J132" s="11" t="s">
        <v>416</v>
      </c>
      <c r="K132" s="12">
        <v>5</v>
      </c>
      <c r="L132" s="9" t="s">
        <v>1031</v>
      </c>
      <c r="M132" s="10">
        <v>7</v>
      </c>
      <c r="N132" s="11" t="s">
        <v>1032</v>
      </c>
      <c r="O132" s="12">
        <f>2+8</f>
        <v>10</v>
      </c>
      <c r="P132" s="9"/>
      <c r="Q132" s="10"/>
      <c r="R132" s="9"/>
      <c r="S132" s="10"/>
      <c r="T132" s="9"/>
      <c r="U132" s="10"/>
      <c r="V132" s="9"/>
      <c r="W132" s="12"/>
      <c r="X132" s="53">
        <f t="shared" ref="X132:X195" si="2">E132+G132+I132+K132+M132+O132+Q132+S132+U132+W132</f>
        <v>123</v>
      </c>
    </row>
    <row r="133" spans="1:24" x14ac:dyDescent="0.25">
      <c r="A133" s="6">
        <v>385</v>
      </c>
      <c r="B133" s="7" t="s">
        <v>204</v>
      </c>
      <c r="C133" s="8" t="s">
        <v>205</v>
      </c>
      <c r="D133" s="9" t="s">
        <v>179</v>
      </c>
      <c r="E133" s="10"/>
      <c r="F133" s="11"/>
      <c r="G133" s="12"/>
      <c r="H133" s="9"/>
      <c r="I133" s="10"/>
      <c r="J133" s="9"/>
      <c r="K133" s="10"/>
      <c r="L133" s="11"/>
      <c r="M133" s="12"/>
      <c r="N133" s="9"/>
      <c r="O133" s="10"/>
      <c r="P133" s="9"/>
      <c r="Q133" s="10"/>
      <c r="R133" s="9"/>
      <c r="S133" s="10"/>
      <c r="T133" s="9"/>
      <c r="U133" s="10"/>
      <c r="V133" s="9"/>
      <c r="W133" s="12"/>
      <c r="X133" s="53">
        <f t="shared" si="2"/>
        <v>0</v>
      </c>
    </row>
    <row r="134" spans="1:24" x14ac:dyDescent="0.25">
      <c r="A134" s="6">
        <v>393</v>
      </c>
      <c r="B134" s="7" t="s">
        <v>216</v>
      </c>
      <c r="C134" s="8" t="s">
        <v>217</v>
      </c>
      <c r="D134" s="9" t="s">
        <v>218</v>
      </c>
      <c r="E134" s="10">
        <v>8</v>
      </c>
      <c r="F134" s="11"/>
      <c r="G134" s="12"/>
      <c r="H134" s="9"/>
      <c r="I134" s="10"/>
      <c r="J134" s="11"/>
      <c r="K134" s="12"/>
      <c r="L134" s="9"/>
      <c r="M134" s="10"/>
      <c r="N134" s="11"/>
      <c r="O134" s="12"/>
      <c r="P134" s="9"/>
      <c r="Q134" s="10"/>
      <c r="R134" s="9"/>
      <c r="S134" s="10"/>
      <c r="T134" s="9"/>
      <c r="U134" s="10"/>
      <c r="V134" s="9"/>
      <c r="W134" s="12"/>
      <c r="X134" s="53">
        <f t="shared" si="2"/>
        <v>8</v>
      </c>
    </row>
    <row r="135" spans="1:24" x14ac:dyDescent="0.25">
      <c r="A135" s="6">
        <v>405</v>
      </c>
      <c r="B135" s="7" t="s">
        <v>465</v>
      </c>
      <c r="C135" s="8" t="s">
        <v>844</v>
      </c>
      <c r="D135" s="9" t="s">
        <v>845</v>
      </c>
      <c r="E135" s="10">
        <f>6+9+7+6</f>
        <v>28</v>
      </c>
      <c r="F135" s="11" t="s">
        <v>846</v>
      </c>
      <c r="G135" s="12">
        <v>8</v>
      </c>
      <c r="H135" s="9" t="s">
        <v>847</v>
      </c>
      <c r="I135" s="10">
        <f>7+5+4</f>
        <v>16</v>
      </c>
      <c r="J135" s="11" t="s">
        <v>848</v>
      </c>
      <c r="K135" s="12">
        <f>5+5</f>
        <v>10</v>
      </c>
      <c r="L135" s="9" t="s">
        <v>849</v>
      </c>
      <c r="M135" s="10">
        <f>4+8</f>
        <v>12</v>
      </c>
      <c r="N135" s="11"/>
      <c r="O135" s="12"/>
      <c r="P135" s="9"/>
      <c r="Q135" s="10"/>
      <c r="R135" s="9"/>
      <c r="S135" s="10"/>
      <c r="T135" s="9"/>
      <c r="U135" s="10"/>
      <c r="V135" s="9"/>
      <c r="W135" s="12"/>
      <c r="X135" s="53">
        <f t="shared" si="2"/>
        <v>74</v>
      </c>
    </row>
    <row r="136" spans="1:24" x14ac:dyDescent="0.25">
      <c r="A136" s="6">
        <v>406</v>
      </c>
      <c r="B136" s="7" t="s">
        <v>866</v>
      </c>
      <c r="C136" s="8" t="s">
        <v>867</v>
      </c>
      <c r="D136" s="9" t="s">
        <v>868</v>
      </c>
      <c r="E136" s="10">
        <v>5</v>
      </c>
      <c r="F136" s="11" t="s">
        <v>869</v>
      </c>
      <c r="G136" s="12">
        <f>5+5+7</f>
        <v>17</v>
      </c>
      <c r="H136" s="9" t="s">
        <v>870</v>
      </c>
      <c r="I136" s="10"/>
      <c r="J136" s="11" t="s">
        <v>871</v>
      </c>
      <c r="K136" s="12">
        <f>1+8</f>
        <v>9</v>
      </c>
      <c r="L136" s="9" t="s">
        <v>872</v>
      </c>
      <c r="M136" s="10">
        <v>7</v>
      </c>
      <c r="N136" s="11" t="s">
        <v>873</v>
      </c>
      <c r="O136" s="12"/>
      <c r="P136" s="9" t="s">
        <v>874</v>
      </c>
      <c r="Q136" s="10">
        <v>2</v>
      </c>
      <c r="R136" s="9" t="s">
        <v>619</v>
      </c>
      <c r="S136" s="10">
        <f>7+4</f>
        <v>11</v>
      </c>
      <c r="T136" s="9" t="s">
        <v>278</v>
      </c>
      <c r="U136" s="10"/>
      <c r="V136" s="9"/>
      <c r="W136" s="12"/>
      <c r="X136" s="53">
        <f t="shared" si="2"/>
        <v>51</v>
      </c>
    </row>
    <row r="137" spans="1:24" x14ac:dyDescent="0.25">
      <c r="A137" s="6">
        <v>408</v>
      </c>
      <c r="B137" s="7" t="s">
        <v>455</v>
      </c>
      <c r="C137" s="8" t="s">
        <v>456</v>
      </c>
      <c r="D137" s="9" t="s">
        <v>740</v>
      </c>
      <c r="E137" s="10">
        <v>5</v>
      </c>
      <c r="F137" s="11" t="s">
        <v>741</v>
      </c>
      <c r="G137" s="12">
        <v>6</v>
      </c>
      <c r="H137" s="9" t="s">
        <v>742</v>
      </c>
      <c r="I137" s="10"/>
      <c r="J137" s="11" t="s">
        <v>310</v>
      </c>
      <c r="K137" s="12"/>
      <c r="L137" s="9" t="s">
        <v>743</v>
      </c>
      <c r="M137" s="10"/>
      <c r="N137" s="11" t="s">
        <v>744</v>
      </c>
      <c r="O137" s="12"/>
      <c r="P137" s="9" t="s">
        <v>745</v>
      </c>
      <c r="Q137" s="10">
        <v>8</v>
      </c>
      <c r="R137" s="9" t="s">
        <v>683</v>
      </c>
      <c r="S137" s="10"/>
      <c r="T137" s="9" t="s">
        <v>746</v>
      </c>
      <c r="U137" s="10"/>
      <c r="V137" s="9" t="s">
        <v>747</v>
      </c>
      <c r="W137" s="12"/>
      <c r="X137" s="53">
        <f t="shared" si="2"/>
        <v>19</v>
      </c>
    </row>
    <row r="138" spans="1:24" x14ac:dyDescent="0.25">
      <c r="A138" s="6">
        <v>412</v>
      </c>
      <c r="B138" s="7" t="s">
        <v>640</v>
      </c>
      <c r="C138" s="8" t="s">
        <v>119</v>
      </c>
      <c r="D138" s="9" t="s">
        <v>742</v>
      </c>
      <c r="E138" s="10">
        <f>3+8+6+6</f>
        <v>23</v>
      </c>
      <c r="F138" s="11" t="s">
        <v>626</v>
      </c>
      <c r="G138" s="12"/>
      <c r="H138" s="9" t="s">
        <v>748</v>
      </c>
      <c r="I138" s="10"/>
      <c r="J138" s="11" t="s">
        <v>749</v>
      </c>
      <c r="K138" s="12">
        <f>4+6</f>
        <v>10</v>
      </c>
      <c r="L138" s="9" t="s">
        <v>750</v>
      </c>
      <c r="M138" s="10">
        <f>2+7+3</f>
        <v>12</v>
      </c>
      <c r="N138" s="11" t="s">
        <v>751</v>
      </c>
      <c r="O138" s="12">
        <f>6+5</f>
        <v>11</v>
      </c>
      <c r="P138" s="9" t="s">
        <v>752</v>
      </c>
      <c r="Q138" s="10"/>
      <c r="R138" s="9"/>
      <c r="S138" s="10"/>
      <c r="T138" s="9"/>
      <c r="U138" s="10"/>
      <c r="V138" s="9"/>
      <c r="W138" s="12"/>
      <c r="X138" s="53">
        <f t="shared" si="2"/>
        <v>56</v>
      </c>
    </row>
    <row r="139" spans="1:24" x14ac:dyDescent="0.25">
      <c r="A139" s="6">
        <v>415</v>
      </c>
      <c r="B139" s="7" t="s">
        <v>147</v>
      </c>
      <c r="C139" s="8" t="s">
        <v>1309</v>
      </c>
      <c r="D139" s="9" t="s">
        <v>1310</v>
      </c>
      <c r="E139" s="10"/>
      <c r="F139" s="11" t="s">
        <v>1311</v>
      </c>
      <c r="G139" s="12">
        <v>6</v>
      </c>
      <c r="H139" s="9"/>
      <c r="I139" s="10"/>
      <c r="J139" s="11"/>
      <c r="K139" s="12"/>
      <c r="L139" s="9"/>
      <c r="M139" s="10"/>
      <c r="N139" s="11"/>
      <c r="O139" s="12"/>
      <c r="P139" s="9"/>
      <c r="Q139" s="10"/>
      <c r="R139" s="9"/>
      <c r="S139" s="10"/>
      <c r="T139" s="9"/>
      <c r="U139" s="10"/>
      <c r="V139" s="9"/>
      <c r="W139" s="12"/>
      <c r="X139" s="53">
        <f t="shared" si="2"/>
        <v>6</v>
      </c>
    </row>
    <row r="140" spans="1:24" x14ac:dyDescent="0.25">
      <c r="A140" s="6">
        <v>416</v>
      </c>
      <c r="B140" s="7" t="s">
        <v>229</v>
      </c>
      <c r="C140" s="8" t="s">
        <v>230</v>
      </c>
      <c r="D140" s="9" t="s">
        <v>231</v>
      </c>
      <c r="E140" s="10">
        <v>9</v>
      </c>
      <c r="F140" s="11" t="s">
        <v>232</v>
      </c>
      <c r="G140" s="12"/>
      <c r="H140" s="9" t="s">
        <v>233</v>
      </c>
      <c r="I140" s="10"/>
      <c r="J140" s="11" t="s">
        <v>234</v>
      </c>
      <c r="K140" s="12"/>
      <c r="L140" s="9" t="s">
        <v>235</v>
      </c>
      <c r="M140" s="10"/>
      <c r="N140" s="11" t="s">
        <v>236</v>
      </c>
      <c r="O140" s="12">
        <v>8</v>
      </c>
      <c r="P140" s="9" t="s">
        <v>237</v>
      </c>
      <c r="Q140" s="10">
        <v>6</v>
      </c>
      <c r="R140" s="9" t="s">
        <v>238</v>
      </c>
      <c r="S140" s="10"/>
      <c r="T140" s="9" t="s">
        <v>239</v>
      </c>
      <c r="U140" s="10"/>
      <c r="V140" s="9" t="s">
        <v>84</v>
      </c>
      <c r="W140" s="12"/>
      <c r="X140" s="53">
        <f t="shared" si="2"/>
        <v>23</v>
      </c>
    </row>
    <row r="141" spans="1:24" x14ac:dyDescent="0.25">
      <c r="A141" s="6">
        <v>419</v>
      </c>
      <c r="B141" s="7" t="s">
        <v>94</v>
      </c>
      <c r="C141" s="8" t="s">
        <v>1307</v>
      </c>
      <c r="D141" s="9" t="s">
        <v>1308</v>
      </c>
      <c r="E141" s="10"/>
      <c r="F141" s="11"/>
      <c r="G141" s="12"/>
      <c r="H141" s="9"/>
      <c r="I141" s="10"/>
      <c r="J141" s="11"/>
      <c r="K141" s="12"/>
      <c r="L141" s="9"/>
      <c r="M141" s="10"/>
      <c r="N141" s="11"/>
      <c r="O141" s="12"/>
      <c r="P141" s="9"/>
      <c r="Q141" s="10"/>
      <c r="R141" s="9"/>
      <c r="S141" s="10"/>
      <c r="T141" s="9"/>
      <c r="U141" s="10"/>
      <c r="V141" s="9"/>
      <c r="W141" s="12"/>
      <c r="X141" s="53">
        <f t="shared" si="2"/>
        <v>0</v>
      </c>
    </row>
    <row r="142" spans="1:24" x14ac:dyDescent="0.25">
      <c r="A142" s="6">
        <v>425</v>
      </c>
      <c r="B142" s="7" t="s">
        <v>65</v>
      </c>
      <c r="C142" s="8" t="s">
        <v>516</v>
      </c>
      <c r="D142" s="9" t="s">
        <v>517</v>
      </c>
      <c r="E142" s="10"/>
      <c r="F142" s="11" t="s">
        <v>518</v>
      </c>
      <c r="G142" s="12">
        <v>5</v>
      </c>
      <c r="H142" s="9" t="s">
        <v>519</v>
      </c>
      <c r="I142" s="10">
        <v>6</v>
      </c>
      <c r="J142" s="11" t="s">
        <v>520</v>
      </c>
      <c r="K142" s="12">
        <f>7+4</f>
        <v>11</v>
      </c>
      <c r="L142" s="9"/>
      <c r="M142" s="10"/>
      <c r="N142" s="11"/>
      <c r="O142" s="12"/>
      <c r="P142" s="9"/>
      <c r="Q142" s="10"/>
      <c r="R142" s="9"/>
      <c r="S142" s="10"/>
      <c r="T142" s="9"/>
      <c r="U142" s="10"/>
      <c r="V142" s="9"/>
      <c r="W142" s="12"/>
      <c r="X142" s="53">
        <f t="shared" si="2"/>
        <v>22</v>
      </c>
    </row>
    <row r="143" spans="1:24" x14ac:dyDescent="0.25">
      <c r="A143" s="6">
        <v>426</v>
      </c>
      <c r="B143" s="7" t="s">
        <v>127</v>
      </c>
      <c r="C143" s="8" t="s">
        <v>507</v>
      </c>
      <c r="D143" s="9" t="s">
        <v>508</v>
      </c>
      <c r="E143" s="10">
        <f>7+4</f>
        <v>11</v>
      </c>
      <c r="F143" s="11" t="s">
        <v>509</v>
      </c>
      <c r="G143" s="12">
        <f>7+7</f>
        <v>14</v>
      </c>
      <c r="H143" s="9" t="s">
        <v>500</v>
      </c>
      <c r="I143" s="10"/>
      <c r="J143" s="11" t="s">
        <v>510</v>
      </c>
      <c r="K143" s="12">
        <v>8</v>
      </c>
      <c r="L143" s="9" t="s">
        <v>511</v>
      </c>
      <c r="M143" s="10"/>
      <c r="N143" s="11" t="s">
        <v>512</v>
      </c>
      <c r="O143" s="12">
        <v>5</v>
      </c>
      <c r="P143" s="9" t="s">
        <v>513</v>
      </c>
      <c r="Q143" s="10">
        <v>7</v>
      </c>
      <c r="R143" s="9" t="s">
        <v>235</v>
      </c>
      <c r="S143" s="10">
        <f>5+8</f>
        <v>13</v>
      </c>
      <c r="T143" s="9" t="s">
        <v>514</v>
      </c>
      <c r="U143" s="10">
        <f>5+5+3</f>
        <v>13</v>
      </c>
      <c r="V143" s="9" t="s">
        <v>515</v>
      </c>
      <c r="W143" s="12"/>
      <c r="X143" s="53">
        <f t="shared" si="2"/>
        <v>71</v>
      </c>
    </row>
    <row r="144" spans="1:24" x14ac:dyDescent="0.25">
      <c r="A144" s="6">
        <v>428</v>
      </c>
      <c r="B144" s="7" t="s">
        <v>465</v>
      </c>
      <c r="C144" s="8" t="s">
        <v>206</v>
      </c>
      <c r="D144" s="9" t="s">
        <v>1199</v>
      </c>
      <c r="E144" s="10"/>
      <c r="F144" s="11" t="s">
        <v>1200</v>
      </c>
      <c r="G144" s="12">
        <v>5</v>
      </c>
      <c r="H144" s="9" t="s">
        <v>1201</v>
      </c>
      <c r="I144" s="10">
        <v>7</v>
      </c>
      <c r="J144" s="11" t="s">
        <v>1202</v>
      </c>
      <c r="K144" s="12"/>
      <c r="L144" s="9" t="s">
        <v>1203</v>
      </c>
      <c r="M144" s="10"/>
      <c r="N144" s="11" t="s">
        <v>1204</v>
      </c>
      <c r="O144" s="12">
        <v>6</v>
      </c>
      <c r="P144" s="9" t="s">
        <v>1205</v>
      </c>
      <c r="Q144" s="10"/>
      <c r="R144" s="9" t="s">
        <v>1206</v>
      </c>
      <c r="S144" s="10"/>
      <c r="T144" s="9" t="s">
        <v>1207</v>
      </c>
      <c r="U144" s="10"/>
      <c r="V144" s="9" t="s">
        <v>1208</v>
      </c>
      <c r="W144" s="12"/>
      <c r="X144" s="53">
        <f t="shared" si="2"/>
        <v>18</v>
      </c>
    </row>
    <row r="145" spans="1:24" x14ac:dyDescent="0.25">
      <c r="A145" s="6">
        <v>429</v>
      </c>
      <c r="B145" s="7" t="s">
        <v>280</v>
      </c>
      <c r="C145" s="8" t="s">
        <v>281</v>
      </c>
      <c r="D145" s="9" t="s">
        <v>282</v>
      </c>
      <c r="E145" s="10">
        <f>5+7</f>
        <v>12</v>
      </c>
      <c r="F145" s="11" t="s">
        <v>283</v>
      </c>
      <c r="G145" s="12"/>
      <c r="H145" s="9" t="s">
        <v>284</v>
      </c>
      <c r="I145" s="10">
        <v>5</v>
      </c>
      <c r="J145" s="11"/>
      <c r="K145" s="12"/>
      <c r="L145" s="9"/>
      <c r="M145" s="10"/>
      <c r="N145" s="11"/>
      <c r="O145" s="12"/>
      <c r="P145" s="9"/>
      <c r="Q145" s="10"/>
      <c r="R145" s="9"/>
      <c r="S145" s="10"/>
      <c r="T145" s="9"/>
      <c r="U145" s="10"/>
      <c r="V145" s="9"/>
      <c r="W145" s="12"/>
      <c r="X145" s="53">
        <f t="shared" si="2"/>
        <v>17</v>
      </c>
    </row>
    <row r="146" spans="1:24" x14ac:dyDescent="0.25">
      <c r="A146" s="6">
        <v>430</v>
      </c>
      <c r="B146" s="7" t="s">
        <v>275</v>
      </c>
      <c r="C146" s="8" t="s">
        <v>276</v>
      </c>
      <c r="D146" s="9" t="s">
        <v>277</v>
      </c>
      <c r="E146" s="10">
        <v>9</v>
      </c>
      <c r="F146" s="11" t="s">
        <v>207</v>
      </c>
      <c r="G146" s="12"/>
      <c r="H146" s="9" t="s">
        <v>278</v>
      </c>
      <c r="I146" s="10">
        <v>9</v>
      </c>
      <c r="J146" s="11" t="s">
        <v>279</v>
      </c>
      <c r="K146" s="12">
        <v>8</v>
      </c>
      <c r="L146" s="9"/>
      <c r="M146" s="10"/>
      <c r="N146" s="11"/>
      <c r="O146" s="12"/>
      <c r="P146" s="9"/>
      <c r="Q146" s="10"/>
      <c r="R146" s="9"/>
      <c r="S146" s="10"/>
      <c r="T146" s="9"/>
      <c r="U146" s="10"/>
      <c r="V146" s="9"/>
      <c r="W146" s="12"/>
      <c r="X146" s="53">
        <f t="shared" si="2"/>
        <v>26</v>
      </c>
    </row>
    <row r="147" spans="1:24" x14ac:dyDescent="0.25">
      <c r="A147" s="6">
        <v>436</v>
      </c>
      <c r="B147" s="7" t="s">
        <v>1531</v>
      </c>
      <c r="C147" s="8" t="s">
        <v>1532</v>
      </c>
      <c r="D147" s="9" t="s">
        <v>1533</v>
      </c>
      <c r="E147" s="10">
        <v>7</v>
      </c>
      <c r="F147" s="11" t="s">
        <v>1534</v>
      </c>
      <c r="G147" s="12">
        <v>5</v>
      </c>
      <c r="H147" s="9" t="s">
        <v>335</v>
      </c>
      <c r="I147" s="10">
        <v>6</v>
      </c>
      <c r="J147" s="11"/>
      <c r="K147" s="12"/>
      <c r="L147" s="9"/>
      <c r="M147" s="10"/>
      <c r="N147" s="11"/>
      <c r="O147" s="12"/>
      <c r="P147" s="9"/>
      <c r="Q147" s="10"/>
      <c r="R147" s="9"/>
      <c r="S147" s="10"/>
      <c r="T147" s="9"/>
      <c r="U147" s="10"/>
      <c r="V147" s="9"/>
      <c r="W147" s="12"/>
      <c r="X147" s="53">
        <f t="shared" si="2"/>
        <v>18</v>
      </c>
    </row>
    <row r="148" spans="1:24" x14ac:dyDescent="0.25">
      <c r="A148" s="6">
        <v>437</v>
      </c>
      <c r="B148" s="7" t="s">
        <v>94</v>
      </c>
      <c r="C148" s="8" t="s">
        <v>1542</v>
      </c>
      <c r="D148" s="9" t="s">
        <v>1544</v>
      </c>
      <c r="E148" s="10"/>
      <c r="F148" s="11" t="s">
        <v>713</v>
      </c>
      <c r="G148" s="12"/>
      <c r="H148" s="9" t="s">
        <v>1545</v>
      </c>
      <c r="I148" s="10">
        <v>7</v>
      </c>
      <c r="J148" s="11" t="s">
        <v>1546</v>
      </c>
      <c r="K148" s="12"/>
      <c r="L148" s="9" t="s">
        <v>682</v>
      </c>
      <c r="M148" s="10"/>
      <c r="N148" s="11" t="s">
        <v>1547</v>
      </c>
      <c r="O148" s="12"/>
      <c r="P148" s="9" t="s">
        <v>1548</v>
      </c>
      <c r="Q148" s="10"/>
      <c r="R148" s="9" t="s">
        <v>1549</v>
      </c>
      <c r="S148" s="10">
        <v>5</v>
      </c>
      <c r="T148" s="9" t="s">
        <v>1550</v>
      </c>
      <c r="U148" s="10">
        <v>4</v>
      </c>
      <c r="V148" s="9" t="s">
        <v>1551</v>
      </c>
      <c r="W148" s="12"/>
      <c r="X148" s="53">
        <f t="shared" si="2"/>
        <v>16</v>
      </c>
    </row>
    <row r="149" spans="1:24" x14ac:dyDescent="0.25">
      <c r="A149" s="6">
        <v>444</v>
      </c>
      <c r="B149" s="7" t="s">
        <v>640</v>
      </c>
      <c r="C149" s="8" t="s">
        <v>641</v>
      </c>
      <c r="D149" s="9" t="s">
        <v>642</v>
      </c>
      <c r="E149" s="10">
        <v>7</v>
      </c>
      <c r="F149" s="11" t="s">
        <v>643</v>
      </c>
      <c r="G149" s="12"/>
      <c r="H149" s="9" t="s">
        <v>644</v>
      </c>
      <c r="I149" s="10">
        <v>6</v>
      </c>
      <c r="J149" s="11" t="s">
        <v>645</v>
      </c>
      <c r="K149" s="12"/>
      <c r="L149" s="9" t="s">
        <v>646</v>
      </c>
      <c r="M149" s="10">
        <v>8</v>
      </c>
      <c r="N149" s="11"/>
      <c r="O149" s="12"/>
      <c r="P149" s="9"/>
      <c r="Q149" s="10"/>
      <c r="R149" s="9"/>
      <c r="S149" s="10"/>
      <c r="T149" s="9"/>
      <c r="U149" s="10"/>
      <c r="V149" s="9"/>
      <c r="W149" s="12"/>
      <c r="X149" s="53">
        <f t="shared" si="2"/>
        <v>21</v>
      </c>
    </row>
    <row r="150" spans="1:24" x14ac:dyDescent="0.25">
      <c r="A150" s="6">
        <v>445</v>
      </c>
      <c r="B150" s="7" t="s">
        <v>1358</v>
      </c>
      <c r="C150" s="8" t="s">
        <v>1359</v>
      </c>
      <c r="D150" s="9" t="s">
        <v>1360</v>
      </c>
      <c r="E150" s="10">
        <v>10</v>
      </c>
      <c r="F150" s="11" t="s">
        <v>1361</v>
      </c>
      <c r="G150" s="12"/>
      <c r="H150" s="9" t="s">
        <v>1362</v>
      </c>
      <c r="I150" s="10"/>
      <c r="J150" s="11" t="s">
        <v>1363</v>
      </c>
      <c r="K150" s="12">
        <v>10</v>
      </c>
      <c r="L150" s="9" t="s">
        <v>1364</v>
      </c>
      <c r="M150" s="10"/>
      <c r="N150" s="11" t="s">
        <v>687</v>
      </c>
      <c r="O150" s="12"/>
      <c r="P150" s="9" t="s">
        <v>1365</v>
      </c>
      <c r="Q150" s="10">
        <v>10</v>
      </c>
      <c r="R150" s="9" t="s">
        <v>1366</v>
      </c>
      <c r="S150" s="10"/>
      <c r="T150" s="9" t="s">
        <v>1367</v>
      </c>
      <c r="U150" s="10"/>
      <c r="V150" s="9" t="s">
        <v>1368</v>
      </c>
      <c r="W150" s="12"/>
      <c r="X150" s="53">
        <f t="shared" si="2"/>
        <v>30</v>
      </c>
    </row>
    <row r="151" spans="1:24" x14ac:dyDescent="0.25">
      <c r="A151" s="6">
        <v>446</v>
      </c>
      <c r="B151" s="7" t="s">
        <v>344</v>
      </c>
      <c r="C151" s="8" t="s">
        <v>345</v>
      </c>
      <c r="D151" s="9" t="s">
        <v>346</v>
      </c>
      <c r="E151" s="10">
        <f>5+7</f>
        <v>12</v>
      </c>
      <c r="F151" s="9" t="s">
        <v>347</v>
      </c>
      <c r="G151" s="12">
        <v>8</v>
      </c>
      <c r="H151" s="9" t="s">
        <v>348</v>
      </c>
      <c r="I151" s="10">
        <f>10+6</f>
        <v>16</v>
      </c>
      <c r="J151" s="11" t="s">
        <v>349</v>
      </c>
      <c r="K151" s="12">
        <f>5+5+7+4</f>
        <v>21</v>
      </c>
      <c r="L151" s="9" t="s">
        <v>350</v>
      </c>
      <c r="M151" s="10"/>
      <c r="N151" s="11" t="s">
        <v>351</v>
      </c>
      <c r="O151" s="12"/>
      <c r="P151" s="9" t="s">
        <v>352</v>
      </c>
      <c r="Q151" s="10">
        <f>10+5</f>
        <v>15</v>
      </c>
      <c r="R151" s="9" t="s">
        <v>278</v>
      </c>
      <c r="S151" s="10">
        <v>4</v>
      </c>
      <c r="T151" s="9" t="s">
        <v>353</v>
      </c>
      <c r="U151" s="10">
        <f>6+2</f>
        <v>8</v>
      </c>
      <c r="V151" s="9" t="s">
        <v>914</v>
      </c>
      <c r="W151" s="12">
        <f>6+8</f>
        <v>14</v>
      </c>
      <c r="X151" s="53">
        <f t="shared" si="2"/>
        <v>98</v>
      </c>
    </row>
    <row r="152" spans="1:24" x14ac:dyDescent="0.25">
      <c r="A152" s="6">
        <v>453</v>
      </c>
      <c r="B152" s="7" t="s">
        <v>445</v>
      </c>
      <c r="C152" s="8" t="s">
        <v>446</v>
      </c>
      <c r="D152" s="9" t="s">
        <v>447</v>
      </c>
      <c r="E152" s="10">
        <f>6+8+7</f>
        <v>21</v>
      </c>
      <c r="F152" s="11" t="s">
        <v>448</v>
      </c>
      <c r="G152" s="12">
        <f>8+9+9+4</f>
        <v>30</v>
      </c>
      <c r="H152" s="9" t="s">
        <v>449</v>
      </c>
      <c r="I152" s="10">
        <v>8</v>
      </c>
      <c r="J152" s="11" t="s">
        <v>450</v>
      </c>
      <c r="K152" s="12"/>
      <c r="L152" s="9" t="s">
        <v>451</v>
      </c>
      <c r="M152" s="10">
        <f>8+5</f>
        <v>13</v>
      </c>
      <c r="N152" s="11" t="s">
        <v>452</v>
      </c>
      <c r="O152" s="12">
        <v>8</v>
      </c>
      <c r="P152" s="9" t="s">
        <v>453</v>
      </c>
      <c r="Q152" s="10">
        <v>8</v>
      </c>
      <c r="R152" s="9" t="s">
        <v>454</v>
      </c>
      <c r="S152" s="10"/>
      <c r="T152" s="9"/>
      <c r="U152" s="10"/>
      <c r="V152" s="9"/>
      <c r="W152" s="12"/>
      <c r="X152" s="53">
        <f t="shared" si="2"/>
        <v>88</v>
      </c>
    </row>
    <row r="153" spans="1:24" x14ac:dyDescent="0.25">
      <c r="A153" s="6">
        <v>454</v>
      </c>
      <c r="B153" s="7" t="s">
        <v>45</v>
      </c>
      <c r="C153" s="8" t="s">
        <v>130</v>
      </c>
      <c r="D153" s="9" t="s">
        <v>79</v>
      </c>
      <c r="E153" s="10">
        <v>6</v>
      </c>
      <c r="F153" s="11" t="s">
        <v>675</v>
      </c>
      <c r="G153" s="12">
        <v>7</v>
      </c>
      <c r="H153" s="9" t="s">
        <v>676</v>
      </c>
      <c r="I153" s="10">
        <v>8</v>
      </c>
      <c r="J153" s="11" t="s">
        <v>233</v>
      </c>
      <c r="K153" s="12"/>
      <c r="L153" s="9"/>
      <c r="M153" s="10"/>
      <c r="N153" s="11"/>
      <c r="O153" s="12"/>
      <c r="P153" s="9"/>
      <c r="Q153" s="10"/>
      <c r="R153" s="9"/>
      <c r="S153" s="10"/>
      <c r="T153" s="9"/>
      <c r="U153" s="10"/>
      <c r="V153" s="9"/>
      <c r="W153" s="12"/>
      <c r="X153" s="53">
        <f t="shared" si="2"/>
        <v>21</v>
      </c>
    </row>
    <row r="154" spans="1:24" x14ac:dyDescent="0.25">
      <c r="A154" s="6">
        <v>455</v>
      </c>
      <c r="B154" s="7" t="s">
        <v>765</v>
      </c>
      <c r="C154" s="8" t="s">
        <v>1070</v>
      </c>
      <c r="D154" s="9" t="s">
        <v>907</v>
      </c>
      <c r="E154" s="10"/>
      <c r="F154" s="11" t="s">
        <v>1071</v>
      </c>
      <c r="G154" s="12"/>
      <c r="H154" s="9" t="s">
        <v>1072</v>
      </c>
      <c r="I154" s="10"/>
      <c r="J154" s="11" t="s">
        <v>1073</v>
      </c>
      <c r="K154" s="12"/>
      <c r="L154" s="9" t="s">
        <v>683</v>
      </c>
      <c r="M154" s="10"/>
      <c r="N154" s="11" t="s">
        <v>440</v>
      </c>
      <c r="O154" s="12"/>
      <c r="P154" s="9" t="s">
        <v>1074</v>
      </c>
      <c r="Q154" s="10">
        <v>9</v>
      </c>
      <c r="R154" s="9" t="s">
        <v>1075</v>
      </c>
      <c r="S154" s="10"/>
      <c r="T154" s="9" t="s">
        <v>315</v>
      </c>
      <c r="U154" s="10">
        <f>7+5</f>
        <v>12</v>
      </c>
      <c r="V154" s="9" t="s">
        <v>1076</v>
      </c>
      <c r="W154" s="12">
        <v>8</v>
      </c>
      <c r="X154" s="53">
        <f t="shared" si="2"/>
        <v>29</v>
      </c>
    </row>
    <row r="155" spans="1:24" x14ac:dyDescent="0.25">
      <c r="A155" s="6">
        <v>459</v>
      </c>
      <c r="B155" s="7" t="s">
        <v>65</v>
      </c>
      <c r="C155" s="8" t="s">
        <v>34</v>
      </c>
      <c r="D155" s="9" t="s">
        <v>252</v>
      </c>
      <c r="E155" s="10">
        <v>8</v>
      </c>
      <c r="F155" s="11" t="s">
        <v>253</v>
      </c>
      <c r="G155" s="12">
        <v>7</v>
      </c>
      <c r="H155" s="9" t="s">
        <v>254</v>
      </c>
      <c r="I155" s="10">
        <v>5</v>
      </c>
      <c r="J155" s="11"/>
      <c r="K155" s="12"/>
      <c r="L155" s="9"/>
      <c r="M155" s="10"/>
      <c r="N155" s="11"/>
      <c r="O155" s="12"/>
      <c r="P155" s="9"/>
      <c r="Q155" s="10"/>
      <c r="R155" s="9"/>
      <c r="S155" s="10"/>
      <c r="T155" s="9"/>
      <c r="U155" s="10"/>
      <c r="V155" s="9"/>
      <c r="W155" s="12"/>
      <c r="X155" s="53">
        <f t="shared" si="2"/>
        <v>20</v>
      </c>
    </row>
    <row r="156" spans="1:24" x14ac:dyDescent="0.25">
      <c r="A156" s="6">
        <v>460</v>
      </c>
      <c r="B156" s="7" t="s">
        <v>409</v>
      </c>
      <c r="C156" s="8" t="s">
        <v>1496</v>
      </c>
      <c r="D156" s="9" t="s">
        <v>215</v>
      </c>
      <c r="E156" s="10">
        <v>3</v>
      </c>
      <c r="F156" s="11" t="s">
        <v>457</v>
      </c>
      <c r="G156" s="12">
        <v>8</v>
      </c>
      <c r="H156" s="9" t="s">
        <v>458</v>
      </c>
      <c r="I156" s="10">
        <v>5</v>
      </c>
      <c r="J156" s="11"/>
      <c r="K156" s="12"/>
      <c r="L156" s="9"/>
      <c r="M156" s="10"/>
      <c r="N156" s="11"/>
      <c r="O156" s="12"/>
      <c r="P156" s="9"/>
      <c r="Q156" s="10"/>
      <c r="R156" s="9"/>
      <c r="S156" s="10"/>
      <c r="T156" s="9"/>
      <c r="U156" s="10"/>
      <c r="V156" s="9"/>
      <c r="W156" s="12"/>
      <c r="X156" s="53">
        <f t="shared" si="2"/>
        <v>16</v>
      </c>
    </row>
    <row r="157" spans="1:24" x14ac:dyDescent="0.25">
      <c r="A157" s="6">
        <v>474</v>
      </c>
      <c r="B157" s="7" t="s">
        <v>344</v>
      </c>
      <c r="C157" s="8" t="s">
        <v>1170</v>
      </c>
      <c r="D157" s="9" t="s">
        <v>1171</v>
      </c>
      <c r="E157" s="10"/>
      <c r="F157" s="11" t="s">
        <v>1172</v>
      </c>
      <c r="G157" s="12">
        <v>6</v>
      </c>
      <c r="H157" s="9" t="s">
        <v>1173</v>
      </c>
      <c r="I157" s="10">
        <v>5</v>
      </c>
      <c r="J157" s="11" t="s">
        <v>1174</v>
      </c>
      <c r="K157" s="12">
        <v>5</v>
      </c>
      <c r="L157" s="9" t="s">
        <v>1175</v>
      </c>
      <c r="M157" s="10"/>
      <c r="N157" s="11"/>
      <c r="O157" s="12"/>
      <c r="P157" s="9"/>
      <c r="Q157" s="10"/>
      <c r="R157" s="9"/>
      <c r="S157" s="10"/>
      <c r="T157" s="9"/>
      <c r="U157" s="10"/>
      <c r="V157" s="9"/>
      <c r="W157" s="12"/>
      <c r="X157" s="53">
        <f t="shared" si="2"/>
        <v>16</v>
      </c>
    </row>
    <row r="158" spans="1:24" x14ac:dyDescent="0.25">
      <c r="A158" s="6">
        <v>475</v>
      </c>
      <c r="B158" s="7" t="s">
        <v>1013</v>
      </c>
      <c r="C158" s="8" t="s">
        <v>1344</v>
      </c>
      <c r="D158" s="9" t="s">
        <v>1345</v>
      </c>
      <c r="E158" s="10">
        <v>5</v>
      </c>
      <c r="F158" s="11" t="s">
        <v>1346</v>
      </c>
      <c r="G158" s="12">
        <v>5</v>
      </c>
      <c r="H158" s="9" t="s">
        <v>1347</v>
      </c>
      <c r="I158" s="10"/>
      <c r="J158" s="11" t="s">
        <v>1348</v>
      </c>
      <c r="K158" s="12"/>
      <c r="L158" s="9" t="s">
        <v>1349</v>
      </c>
      <c r="M158" s="10"/>
      <c r="N158" s="11" t="s">
        <v>1350</v>
      </c>
      <c r="O158" s="12"/>
      <c r="P158" s="9" t="s">
        <v>1351</v>
      </c>
      <c r="Q158" s="10"/>
      <c r="R158" s="9" t="s">
        <v>1352</v>
      </c>
      <c r="S158" s="10"/>
      <c r="T158" s="9" t="s">
        <v>1353</v>
      </c>
      <c r="U158" s="10"/>
      <c r="V158" s="9" t="s">
        <v>1354</v>
      </c>
      <c r="W158" s="12"/>
      <c r="X158" s="53">
        <f t="shared" si="2"/>
        <v>10</v>
      </c>
    </row>
    <row r="159" spans="1:24" x14ac:dyDescent="0.25">
      <c r="A159" s="6">
        <v>514</v>
      </c>
      <c r="B159" s="7" t="s">
        <v>229</v>
      </c>
      <c r="C159" s="8" t="s">
        <v>837</v>
      </c>
      <c r="D159" s="9" t="s">
        <v>838</v>
      </c>
      <c r="E159" s="10"/>
      <c r="F159" s="11"/>
      <c r="G159" s="12"/>
      <c r="H159" s="9"/>
      <c r="I159" s="10"/>
      <c r="J159" s="11"/>
      <c r="K159" s="12"/>
      <c r="L159" s="9"/>
      <c r="M159" s="10"/>
      <c r="N159" s="11"/>
      <c r="O159" s="12"/>
      <c r="P159" s="9"/>
      <c r="Q159" s="10"/>
      <c r="R159" s="9"/>
      <c r="S159" s="10"/>
      <c r="T159" s="9"/>
      <c r="U159" s="10"/>
      <c r="V159" s="9"/>
      <c r="W159" s="12"/>
      <c r="X159" s="53">
        <f t="shared" si="2"/>
        <v>0</v>
      </c>
    </row>
    <row r="160" spans="1:24" x14ac:dyDescent="0.25">
      <c r="A160" s="6">
        <v>515</v>
      </c>
      <c r="B160" s="7" t="s">
        <v>839</v>
      </c>
      <c r="C160" s="8" t="s">
        <v>840</v>
      </c>
      <c r="D160" s="9" t="s">
        <v>841</v>
      </c>
      <c r="E160" s="10"/>
      <c r="F160" s="11"/>
      <c r="G160" s="12"/>
      <c r="H160" s="9"/>
      <c r="I160" s="10"/>
      <c r="J160" s="11"/>
      <c r="K160" s="12"/>
      <c r="L160" s="9"/>
      <c r="M160" s="10"/>
      <c r="N160" s="11"/>
      <c r="O160" s="12"/>
      <c r="P160" s="9"/>
      <c r="Q160" s="10"/>
      <c r="R160" s="9"/>
      <c r="S160" s="10"/>
      <c r="T160" s="9"/>
      <c r="U160" s="10"/>
      <c r="V160" s="9"/>
      <c r="W160" s="12"/>
      <c r="X160" s="53">
        <f t="shared" si="2"/>
        <v>0</v>
      </c>
    </row>
    <row r="161" spans="1:24" x14ac:dyDescent="0.25">
      <c r="A161" s="6">
        <v>516</v>
      </c>
      <c r="B161" s="7" t="s">
        <v>887</v>
      </c>
      <c r="C161" s="8" t="s">
        <v>888</v>
      </c>
      <c r="D161" s="9" t="s">
        <v>869</v>
      </c>
      <c r="E161" s="10">
        <f>7+8+8+5</f>
        <v>28</v>
      </c>
      <c r="F161" s="11"/>
      <c r="G161" s="12"/>
      <c r="H161" s="9"/>
      <c r="I161" s="10"/>
      <c r="J161" s="11"/>
      <c r="K161" s="12"/>
      <c r="L161" s="9"/>
      <c r="M161" s="10"/>
      <c r="N161" s="11"/>
      <c r="O161" s="12"/>
      <c r="P161" s="9"/>
      <c r="Q161" s="10"/>
      <c r="R161" s="9"/>
      <c r="S161" s="10"/>
      <c r="T161" s="9"/>
      <c r="U161" s="10"/>
      <c r="V161" s="9"/>
      <c r="W161" s="12"/>
      <c r="X161" s="53">
        <f t="shared" si="2"/>
        <v>28</v>
      </c>
    </row>
    <row r="162" spans="1:24" x14ac:dyDescent="0.25">
      <c r="A162" s="6">
        <v>517</v>
      </c>
      <c r="B162" s="7" t="s">
        <v>1552</v>
      </c>
      <c r="C162" s="8" t="s">
        <v>1553</v>
      </c>
      <c r="D162" s="9"/>
      <c r="E162" s="10"/>
      <c r="F162" s="11"/>
      <c r="G162" s="12"/>
      <c r="H162" s="9"/>
      <c r="I162" s="10"/>
      <c r="J162" s="11"/>
      <c r="K162" s="12"/>
      <c r="L162" s="9"/>
      <c r="M162" s="10"/>
      <c r="N162" s="11"/>
      <c r="O162" s="12"/>
      <c r="P162" s="9"/>
      <c r="Q162" s="10"/>
      <c r="R162" s="9"/>
      <c r="S162" s="10"/>
      <c r="T162" s="9"/>
      <c r="U162" s="10"/>
      <c r="V162" s="9"/>
      <c r="W162" s="12"/>
      <c r="X162" s="53">
        <f t="shared" si="2"/>
        <v>0</v>
      </c>
    </row>
    <row r="163" spans="1:24" x14ac:dyDescent="0.25">
      <c r="A163" s="6">
        <v>520</v>
      </c>
      <c r="B163" s="7" t="s">
        <v>109</v>
      </c>
      <c r="C163" s="8" t="s">
        <v>1228</v>
      </c>
      <c r="D163" s="9" t="s">
        <v>356</v>
      </c>
      <c r="E163" s="10"/>
      <c r="F163" s="11" t="s">
        <v>1229</v>
      </c>
      <c r="G163" s="12"/>
      <c r="H163" s="9" t="s">
        <v>1230</v>
      </c>
      <c r="I163" s="10">
        <f>7+10+7</f>
        <v>24</v>
      </c>
      <c r="J163" s="11" t="s">
        <v>1231</v>
      </c>
      <c r="K163" s="12">
        <f>7+7+9</f>
        <v>23</v>
      </c>
      <c r="L163" s="9" t="s">
        <v>1232</v>
      </c>
      <c r="M163" s="10">
        <f>4+8</f>
        <v>12</v>
      </c>
      <c r="N163" s="11" t="s">
        <v>78</v>
      </c>
      <c r="O163" s="12">
        <f>6+8+7+10+9+10</f>
        <v>50</v>
      </c>
      <c r="P163" s="9" t="s">
        <v>1233</v>
      </c>
      <c r="Q163" s="10"/>
      <c r="R163" s="9" t="s">
        <v>1234</v>
      </c>
      <c r="S163" s="10"/>
      <c r="T163" s="9" t="s">
        <v>1194</v>
      </c>
      <c r="U163" s="10">
        <f>6+8+8</f>
        <v>22</v>
      </c>
      <c r="V163" s="9" t="s">
        <v>1235</v>
      </c>
      <c r="W163" s="12">
        <v>6</v>
      </c>
      <c r="X163" s="53">
        <f t="shared" si="2"/>
        <v>137</v>
      </c>
    </row>
    <row r="164" spans="1:24" x14ac:dyDescent="0.25">
      <c r="A164" s="6">
        <v>521</v>
      </c>
      <c r="B164" s="7" t="s">
        <v>1312</v>
      </c>
      <c r="C164" s="8" t="s">
        <v>1397</v>
      </c>
      <c r="D164" s="9" t="s">
        <v>1398</v>
      </c>
      <c r="E164" s="10"/>
      <c r="F164" s="11" t="s">
        <v>1399</v>
      </c>
      <c r="G164" s="12"/>
      <c r="H164" s="9" t="s">
        <v>1400</v>
      </c>
      <c r="I164" s="10">
        <f>2+6</f>
        <v>8</v>
      </c>
      <c r="J164" s="11" t="s">
        <v>1401</v>
      </c>
      <c r="K164" s="12">
        <f>4+9</f>
        <v>13</v>
      </c>
      <c r="L164" s="9" t="s">
        <v>1402</v>
      </c>
      <c r="M164" s="10">
        <f>3+8+3</f>
        <v>14</v>
      </c>
      <c r="N164" s="11" t="s">
        <v>1403</v>
      </c>
      <c r="O164" s="12">
        <f>6+9+4</f>
        <v>19</v>
      </c>
      <c r="P164" s="9" t="s">
        <v>1404</v>
      </c>
      <c r="Q164" s="10"/>
      <c r="R164" s="9" t="s">
        <v>1405</v>
      </c>
      <c r="S164" s="10"/>
      <c r="T164" s="9" t="s">
        <v>1406</v>
      </c>
      <c r="U164" s="10"/>
      <c r="V164" s="9" t="s">
        <v>1407</v>
      </c>
      <c r="W164" s="12"/>
      <c r="X164" s="53">
        <f t="shared" si="2"/>
        <v>54</v>
      </c>
    </row>
    <row r="165" spans="1:24" x14ac:dyDescent="0.25">
      <c r="A165" s="6">
        <v>522</v>
      </c>
      <c r="B165" s="7" t="s">
        <v>1179</v>
      </c>
      <c r="C165" s="8" t="s">
        <v>1180</v>
      </c>
      <c r="D165" s="9" t="s">
        <v>858</v>
      </c>
      <c r="E165" s="10">
        <v>7</v>
      </c>
      <c r="F165" s="11"/>
      <c r="G165" s="12"/>
      <c r="H165" s="9"/>
      <c r="I165" s="10"/>
      <c r="J165" s="11"/>
      <c r="K165" s="12"/>
      <c r="L165" s="9"/>
      <c r="M165" s="10"/>
      <c r="N165" s="11"/>
      <c r="O165" s="12"/>
      <c r="P165" s="9"/>
      <c r="Q165" s="10"/>
      <c r="R165" s="9"/>
      <c r="S165" s="10"/>
      <c r="T165" s="9"/>
      <c r="U165" s="10"/>
      <c r="V165" s="9"/>
      <c r="W165" s="12"/>
      <c r="X165" s="53">
        <f t="shared" si="2"/>
        <v>7</v>
      </c>
    </row>
    <row r="166" spans="1:24" x14ac:dyDescent="0.25">
      <c r="A166" s="6">
        <v>523</v>
      </c>
      <c r="B166" s="7" t="s">
        <v>182</v>
      </c>
      <c r="C166" s="8" t="s">
        <v>897</v>
      </c>
      <c r="D166" s="9" t="s">
        <v>391</v>
      </c>
      <c r="E166" s="10">
        <v>7</v>
      </c>
      <c r="F166" s="11" t="s">
        <v>1438</v>
      </c>
      <c r="G166" s="12">
        <f>7+4</f>
        <v>11</v>
      </c>
      <c r="H166" s="9"/>
      <c r="I166" s="10"/>
      <c r="J166" s="11"/>
      <c r="K166" s="12"/>
      <c r="L166" s="9"/>
      <c r="M166" s="10"/>
      <c r="N166" s="11"/>
      <c r="O166" s="12"/>
      <c r="P166" s="9"/>
      <c r="Q166" s="10"/>
      <c r="R166" s="9"/>
      <c r="S166" s="10"/>
      <c r="T166" s="9"/>
      <c r="U166" s="10"/>
      <c r="V166" s="9"/>
      <c r="W166" s="12"/>
      <c r="X166" s="53">
        <f t="shared" si="2"/>
        <v>18</v>
      </c>
    </row>
    <row r="167" spans="1:24" x14ac:dyDescent="0.25">
      <c r="A167" s="6">
        <v>524</v>
      </c>
      <c r="B167" s="7" t="s">
        <v>109</v>
      </c>
      <c r="C167" s="8" t="s">
        <v>898</v>
      </c>
      <c r="D167" s="9" t="s">
        <v>259</v>
      </c>
      <c r="E167" s="10"/>
      <c r="F167" s="11"/>
      <c r="G167" s="12"/>
      <c r="H167" s="9"/>
      <c r="I167" s="10"/>
      <c r="J167" s="11"/>
      <c r="K167" s="12"/>
      <c r="L167" s="9"/>
      <c r="M167" s="10"/>
      <c r="N167" s="11"/>
      <c r="O167" s="12"/>
      <c r="P167" s="9"/>
      <c r="Q167" s="10"/>
      <c r="R167" s="9"/>
      <c r="S167" s="10"/>
      <c r="T167" s="9"/>
      <c r="U167" s="10"/>
      <c r="V167" s="9"/>
      <c r="W167" s="12"/>
      <c r="X167" s="53">
        <f t="shared" si="2"/>
        <v>0</v>
      </c>
    </row>
    <row r="168" spans="1:24" x14ac:dyDescent="0.25">
      <c r="A168" s="6">
        <v>525</v>
      </c>
      <c r="B168" s="7" t="s">
        <v>94</v>
      </c>
      <c r="C168" s="8" t="s">
        <v>1177</v>
      </c>
      <c r="D168" s="9" t="s">
        <v>1178</v>
      </c>
      <c r="E168" s="10">
        <v>4</v>
      </c>
      <c r="F168" s="11"/>
      <c r="G168" s="12"/>
      <c r="H168" s="9"/>
      <c r="I168" s="10"/>
      <c r="J168" s="11"/>
      <c r="K168" s="12"/>
      <c r="L168" s="9"/>
      <c r="M168" s="10"/>
      <c r="N168" s="11"/>
      <c r="O168" s="12"/>
      <c r="P168" s="9"/>
      <c r="Q168" s="10"/>
      <c r="R168" s="9"/>
      <c r="S168" s="10"/>
      <c r="T168" s="9"/>
      <c r="U168" s="10"/>
      <c r="V168" s="9"/>
      <c r="W168" s="12"/>
      <c r="X168" s="53">
        <f t="shared" si="2"/>
        <v>4</v>
      </c>
    </row>
    <row r="169" spans="1:24" x14ac:dyDescent="0.25">
      <c r="A169" s="6">
        <v>526</v>
      </c>
      <c r="B169" s="7" t="s">
        <v>1265</v>
      </c>
      <c r="C169" s="8" t="s">
        <v>1266</v>
      </c>
      <c r="D169" s="9" t="s">
        <v>1267</v>
      </c>
      <c r="E169" s="10">
        <v>5</v>
      </c>
      <c r="F169" s="11" t="s">
        <v>1268</v>
      </c>
      <c r="G169" s="12">
        <v>10</v>
      </c>
      <c r="H169" s="9" t="s">
        <v>1269</v>
      </c>
      <c r="I169" s="10">
        <f>7+8+6</f>
        <v>21</v>
      </c>
      <c r="J169" s="11" t="s">
        <v>1270</v>
      </c>
      <c r="K169" s="12"/>
      <c r="L169" s="9" t="s">
        <v>1271</v>
      </c>
      <c r="M169" s="10">
        <f>7+7</f>
        <v>14</v>
      </c>
      <c r="N169" s="11" t="s">
        <v>1272</v>
      </c>
      <c r="O169" s="12"/>
      <c r="P169" s="9" t="s">
        <v>1273</v>
      </c>
      <c r="Q169" s="10">
        <v>4</v>
      </c>
      <c r="R169" s="9" t="s">
        <v>1274</v>
      </c>
      <c r="S169" s="10"/>
      <c r="T169" s="9" t="s">
        <v>1275</v>
      </c>
      <c r="U169" s="10"/>
      <c r="V169" s="9" t="s">
        <v>1276</v>
      </c>
      <c r="W169" s="12"/>
      <c r="X169" s="53">
        <f t="shared" si="2"/>
        <v>54</v>
      </c>
    </row>
    <row r="170" spans="1:24" x14ac:dyDescent="0.25">
      <c r="A170" s="6">
        <v>527</v>
      </c>
      <c r="B170" s="7" t="s">
        <v>204</v>
      </c>
      <c r="C170" s="8" t="s">
        <v>1266</v>
      </c>
      <c r="D170" s="9" t="s">
        <v>1277</v>
      </c>
      <c r="E170" s="10"/>
      <c r="F170" s="11" t="s">
        <v>225</v>
      </c>
      <c r="G170" s="12">
        <v>5</v>
      </c>
      <c r="H170" s="9" t="s">
        <v>1278</v>
      </c>
      <c r="I170" s="10">
        <v>5</v>
      </c>
      <c r="J170" s="11" t="s">
        <v>1279</v>
      </c>
      <c r="K170" s="12">
        <v>6</v>
      </c>
      <c r="L170" s="9" t="s">
        <v>1280</v>
      </c>
      <c r="M170" s="10">
        <v>8</v>
      </c>
      <c r="N170" s="11" t="s">
        <v>1281</v>
      </c>
      <c r="O170" s="12">
        <v>9</v>
      </c>
      <c r="P170" s="9" t="s">
        <v>1282</v>
      </c>
      <c r="Q170" s="10"/>
      <c r="R170" s="9" t="s">
        <v>1283</v>
      </c>
      <c r="S170" s="10">
        <f>8+4</f>
        <v>12</v>
      </c>
      <c r="T170" s="9" t="s">
        <v>1284</v>
      </c>
      <c r="U170" s="10">
        <f>5+7</f>
        <v>12</v>
      </c>
      <c r="V170" s="9" t="s">
        <v>959</v>
      </c>
      <c r="W170" s="12">
        <v>3</v>
      </c>
      <c r="X170" s="53">
        <f t="shared" si="2"/>
        <v>60</v>
      </c>
    </row>
    <row r="171" spans="1:24" x14ac:dyDescent="0.25">
      <c r="A171" s="6">
        <v>529</v>
      </c>
      <c r="B171" s="7" t="s">
        <v>637</v>
      </c>
      <c r="C171" s="8" t="s">
        <v>1049</v>
      </c>
      <c r="D171" s="9" t="s">
        <v>1050</v>
      </c>
      <c r="E171" s="10"/>
      <c r="F171" s="11" t="s">
        <v>1051</v>
      </c>
      <c r="G171" s="12"/>
      <c r="H171" s="9" t="s">
        <v>1052</v>
      </c>
      <c r="I171" s="10"/>
      <c r="J171" s="11" t="s">
        <v>500</v>
      </c>
      <c r="K171" s="12"/>
      <c r="L171" s="9" t="s">
        <v>1053</v>
      </c>
      <c r="M171" s="10"/>
      <c r="N171" s="11" t="s">
        <v>1054</v>
      </c>
      <c r="O171" s="12"/>
      <c r="P171" s="9" t="s">
        <v>937</v>
      </c>
      <c r="Q171" s="10"/>
      <c r="R171" s="9" t="s">
        <v>1055</v>
      </c>
      <c r="S171" s="10"/>
      <c r="T171" s="9" t="s">
        <v>912</v>
      </c>
      <c r="U171" s="10"/>
      <c r="V171" s="9" t="s">
        <v>1056</v>
      </c>
      <c r="W171" s="12"/>
      <c r="X171" s="53">
        <f t="shared" si="2"/>
        <v>0</v>
      </c>
    </row>
    <row r="172" spans="1:24" x14ac:dyDescent="0.25">
      <c r="A172" s="6">
        <v>530</v>
      </c>
      <c r="B172" s="7" t="s">
        <v>928</v>
      </c>
      <c r="C172" s="8" t="s">
        <v>929</v>
      </c>
      <c r="D172" s="9" t="s">
        <v>930</v>
      </c>
      <c r="E172" s="10"/>
      <c r="F172" s="11" t="s">
        <v>931</v>
      </c>
      <c r="G172" s="12"/>
      <c r="H172" s="9" t="s">
        <v>932</v>
      </c>
      <c r="I172" s="10"/>
      <c r="J172" s="11" t="s">
        <v>933</v>
      </c>
      <c r="K172" s="12"/>
      <c r="L172" s="9" t="s">
        <v>934</v>
      </c>
      <c r="M172" s="10"/>
      <c r="N172" s="11" t="s">
        <v>935</v>
      </c>
      <c r="O172" s="12">
        <v>6</v>
      </c>
      <c r="P172" s="9" t="s">
        <v>936</v>
      </c>
      <c r="Q172" s="10"/>
      <c r="R172" s="9" t="s">
        <v>937</v>
      </c>
      <c r="S172" s="10">
        <v>5</v>
      </c>
      <c r="T172" s="9" t="s">
        <v>912</v>
      </c>
      <c r="U172" s="10"/>
      <c r="V172" s="9" t="s">
        <v>938</v>
      </c>
      <c r="W172" s="12"/>
      <c r="X172" s="53">
        <f t="shared" si="2"/>
        <v>11</v>
      </c>
    </row>
    <row r="173" spans="1:24" x14ac:dyDescent="0.25">
      <c r="A173" s="6">
        <v>534</v>
      </c>
      <c r="B173" s="7" t="s">
        <v>891</v>
      </c>
      <c r="C173" s="8" t="s">
        <v>1214</v>
      </c>
      <c r="D173" s="9" t="s">
        <v>1215</v>
      </c>
      <c r="E173" s="10"/>
      <c r="F173" s="11" t="s">
        <v>1216</v>
      </c>
      <c r="G173" s="12"/>
      <c r="H173" s="9"/>
      <c r="I173" s="10"/>
      <c r="J173" s="11"/>
      <c r="K173" s="12"/>
      <c r="L173" s="9"/>
      <c r="M173" s="10"/>
      <c r="N173" s="11"/>
      <c r="O173" s="12"/>
      <c r="P173" s="9"/>
      <c r="Q173" s="10"/>
      <c r="R173" s="9"/>
      <c r="S173" s="10"/>
      <c r="T173" s="9"/>
      <c r="U173" s="10"/>
      <c r="V173" s="9"/>
      <c r="W173" s="12"/>
      <c r="X173" s="53">
        <f t="shared" si="2"/>
        <v>0</v>
      </c>
    </row>
    <row r="174" spans="1:24" x14ac:dyDescent="0.25">
      <c r="A174" s="6">
        <v>536</v>
      </c>
      <c r="B174" s="7" t="s">
        <v>1453</v>
      </c>
      <c r="C174" s="8" t="s">
        <v>1454</v>
      </c>
      <c r="D174" s="9" t="s">
        <v>1455</v>
      </c>
      <c r="E174" s="10"/>
      <c r="F174" s="11" t="s">
        <v>1456</v>
      </c>
      <c r="G174" s="12">
        <f>5+7+7</f>
        <v>19</v>
      </c>
      <c r="H174" s="9" t="s">
        <v>1457</v>
      </c>
      <c r="I174" s="10"/>
      <c r="J174" s="11" t="s">
        <v>160</v>
      </c>
      <c r="K174" s="12"/>
      <c r="L174" s="9" t="s">
        <v>1458</v>
      </c>
      <c r="M174" s="10"/>
      <c r="N174" s="11" t="s">
        <v>1459</v>
      </c>
      <c r="O174" s="12">
        <v>7</v>
      </c>
      <c r="P174" s="9" t="s">
        <v>1460</v>
      </c>
      <c r="Q174" s="10">
        <v>5</v>
      </c>
      <c r="R174" s="9" t="s">
        <v>719</v>
      </c>
      <c r="S174" s="10"/>
      <c r="T174" s="9" t="s">
        <v>1461</v>
      </c>
      <c r="U174" s="10"/>
      <c r="V174" s="9" t="s">
        <v>1462</v>
      </c>
      <c r="W174" s="12"/>
      <c r="X174" s="53">
        <f t="shared" si="2"/>
        <v>31</v>
      </c>
    </row>
    <row r="175" spans="1:24" x14ac:dyDescent="0.25">
      <c r="A175" s="6">
        <v>539</v>
      </c>
      <c r="B175" s="7" t="s">
        <v>85</v>
      </c>
      <c r="C175" s="8" t="s">
        <v>1285</v>
      </c>
      <c r="D175" s="9" t="s">
        <v>160</v>
      </c>
      <c r="E175" s="10"/>
      <c r="F175" s="11" t="s">
        <v>1286</v>
      </c>
      <c r="G175" s="12"/>
      <c r="H175" s="9" t="s">
        <v>1287</v>
      </c>
      <c r="I175" s="10">
        <v>5</v>
      </c>
      <c r="J175" s="11" t="s">
        <v>1288</v>
      </c>
      <c r="K175" s="12">
        <f>5+4</f>
        <v>9</v>
      </c>
      <c r="L175" s="9" t="s">
        <v>1289</v>
      </c>
      <c r="M175" s="10"/>
      <c r="N175" s="11" t="s">
        <v>1290</v>
      </c>
      <c r="O175" s="12"/>
      <c r="P175" s="9" t="s">
        <v>1291</v>
      </c>
      <c r="Q175" s="10">
        <v>7</v>
      </c>
      <c r="R175" s="9"/>
      <c r="S175" s="10"/>
      <c r="T175" s="9"/>
      <c r="U175" s="10"/>
      <c r="V175" s="9"/>
      <c r="W175" s="12"/>
      <c r="X175" s="53">
        <f t="shared" si="2"/>
        <v>21</v>
      </c>
    </row>
    <row r="176" spans="1:24" x14ac:dyDescent="0.25">
      <c r="A176" s="6">
        <v>540</v>
      </c>
      <c r="B176" s="7" t="s">
        <v>473</v>
      </c>
      <c r="C176" s="8" t="s">
        <v>1236</v>
      </c>
      <c r="D176" s="9" t="s">
        <v>1237</v>
      </c>
      <c r="E176" s="10"/>
      <c r="F176" s="11" t="s">
        <v>1238</v>
      </c>
      <c r="G176" s="12"/>
      <c r="H176" s="9" t="s">
        <v>1239</v>
      </c>
      <c r="I176" s="10">
        <v>7</v>
      </c>
      <c r="J176" s="11"/>
      <c r="K176" s="12"/>
      <c r="L176" s="9"/>
      <c r="M176" s="10"/>
      <c r="N176" s="11"/>
      <c r="O176" s="12"/>
      <c r="P176" s="9"/>
      <c r="Q176" s="10"/>
      <c r="R176" s="9"/>
      <c r="S176" s="10"/>
      <c r="T176" s="9"/>
      <c r="U176" s="10"/>
      <c r="V176" s="9"/>
      <c r="W176" s="12"/>
      <c r="X176" s="53">
        <f t="shared" si="2"/>
        <v>7</v>
      </c>
    </row>
    <row r="177" spans="1:24" x14ac:dyDescent="0.25">
      <c r="A177" s="6">
        <v>543</v>
      </c>
      <c r="B177" s="7" t="s">
        <v>455</v>
      </c>
      <c r="C177" s="8" t="s">
        <v>1554</v>
      </c>
      <c r="D177" s="9" t="s">
        <v>1555</v>
      </c>
      <c r="E177" s="10"/>
      <c r="F177" s="11" t="s">
        <v>1556</v>
      </c>
      <c r="G177" s="12">
        <f>8+6</f>
        <v>14</v>
      </c>
      <c r="H177" s="9" t="s">
        <v>869</v>
      </c>
      <c r="I177" s="10"/>
      <c r="J177" s="11" t="s">
        <v>1557</v>
      </c>
      <c r="K177" s="12"/>
      <c r="L177" s="9" t="s">
        <v>1294</v>
      </c>
      <c r="M177" s="10">
        <v>8</v>
      </c>
      <c r="N177" s="11" t="s">
        <v>1558</v>
      </c>
      <c r="O177" s="12">
        <f>5+9</f>
        <v>14</v>
      </c>
      <c r="P177" s="9" t="s">
        <v>179</v>
      </c>
      <c r="Q177" s="10"/>
      <c r="R177" s="9" t="s">
        <v>1559</v>
      </c>
      <c r="S177" s="10"/>
      <c r="T177" s="9"/>
      <c r="U177" s="10"/>
      <c r="V177" s="9"/>
      <c r="W177" s="12"/>
      <c r="X177" s="53">
        <f t="shared" si="2"/>
        <v>36</v>
      </c>
    </row>
    <row r="178" spans="1:24" x14ac:dyDescent="0.25">
      <c r="A178" s="6">
        <v>546</v>
      </c>
      <c r="B178" s="7" t="s">
        <v>1088</v>
      </c>
      <c r="C178" s="8" t="s">
        <v>1528</v>
      </c>
      <c r="D178" s="9" t="s">
        <v>347</v>
      </c>
      <c r="E178" s="10">
        <f>6+7+8+4</f>
        <v>25</v>
      </c>
      <c r="F178" s="11" t="s">
        <v>639</v>
      </c>
      <c r="G178" s="12">
        <v>7</v>
      </c>
      <c r="H178" s="9" t="s">
        <v>1529</v>
      </c>
      <c r="I178" s="10">
        <f>9+4</f>
        <v>13</v>
      </c>
      <c r="J178" s="11" t="s">
        <v>141</v>
      </c>
      <c r="K178" s="12">
        <v>7</v>
      </c>
      <c r="L178" s="9" t="s">
        <v>1530</v>
      </c>
      <c r="M178" s="10">
        <f>7+6</f>
        <v>13</v>
      </c>
      <c r="N178" s="11"/>
      <c r="O178" s="12"/>
      <c r="P178" s="9"/>
      <c r="Q178" s="10"/>
      <c r="R178" s="9"/>
      <c r="S178" s="10"/>
      <c r="T178" s="9"/>
      <c r="U178" s="10"/>
      <c r="V178" s="9"/>
      <c r="W178" s="12"/>
      <c r="X178" s="53">
        <f t="shared" si="2"/>
        <v>65</v>
      </c>
    </row>
    <row r="179" spans="1:24" x14ac:dyDescent="0.25">
      <c r="A179" s="6">
        <v>548</v>
      </c>
      <c r="B179" s="7" t="s">
        <v>1412</v>
      </c>
      <c r="C179" s="8" t="s">
        <v>1413</v>
      </c>
      <c r="D179" s="9" t="s">
        <v>1414</v>
      </c>
      <c r="E179" s="10">
        <v>8</v>
      </c>
      <c r="F179" s="11" t="s">
        <v>715</v>
      </c>
      <c r="G179" s="12"/>
      <c r="H179" s="9" t="s">
        <v>1415</v>
      </c>
      <c r="I179" s="10"/>
      <c r="J179" s="11" t="s">
        <v>1416</v>
      </c>
      <c r="K179" s="12"/>
      <c r="L179" s="9" t="s">
        <v>1417</v>
      </c>
      <c r="M179" s="10"/>
      <c r="N179" s="11" t="s">
        <v>1418</v>
      </c>
      <c r="O179" s="12"/>
      <c r="P179" s="9" t="s">
        <v>160</v>
      </c>
      <c r="Q179" s="10"/>
      <c r="R179" s="9" t="s">
        <v>1419</v>
      </c>
      <c r="S179" s="10">
        <v>8</v>
      </c>
      <c r="T179" s="9" t="s">
        <v>1420</v>
      </c>
      <c r="U179" s="10"/>
      <c r="V179" s="9" t="s">
        <v>1421</v>
      </c>
      <c r="W179" s="12">
        <v>5</v>
      </c>
      <c r="X179" s="53">
        <f t="shared" si="2"/>
        <v>21</v>
      </c>
    </row>
    <row r="180" spans="1:24" x14ac:dyDescent="0.25">
      <c r="A180" s="6">
        <v>549</v>
      </c>
      <c r="B180" s="7" t="s">
        <v>1089</v>
      </c>
      <c r="C180" s="8" t="s">
        <v>1422</v>
      </c>
      <c r="D180" s="9" t="s">
        <v>1423</v>
      </c>
      <c r="E180" s="10">
        <v>7</v>
      </c>
      <c r="F180" s="11" t="s">
        <v>1424</v>
      </c>
      <c r="G180" s="12">
        <v>7</v>
      </c>
      <c r="H180" s="9" t="s">
        <v>1425</v>
      </c>
      <c r="I180" s="10"/>
      <c r="J180" s="11"/>
      <c r="K180" s="12"/>
      <c r="L180" s="9"/>
      <c r="M180" s="10"/>
      <c r="N180" s="11"/>
      <c r="O180" s="12"/>
      <c r="P180" s="9"/>
      <c r="Q180" s="10"/>
      <c r="R180" s="9"/>
      <c r="S180" s="10"/>
      <c r="T180" s="9"/>
      <c r="U180" s="10"/>
      <c r="V180" s="9"/>
      <c r="W180" s="12"/>
      <c r="X180" s="53">
        <f t="shared" si="2"/>
        <v>14</v>
      </c>
    </row>
    <row r="181" spans="1:24" x14ac:dyDescent="0.25">
      <c r="A181" s="6">
        <v>555</v>
      </c>
      <c r="B181" s="7" t="s">
        <v>265</v>
      </c>
      <c r="C181" s="8" t="s">
        <v>1372</v>
      </c>
      <c r="D181" s="9" t="s">
        <v>1386</v>
      </c>
      <c r="E181" s="10">
        <v>8</v>
      </c>
      <c r="F181" s="11" t="s">
        <v>1387</v>
      </c>
      <c r="G181" s="12"/>
      <c r="H181" s="9" t="s">
        <v>1388</v>
      </c>
      <c r="I181" s="10"/>
      <c r="J181" s="11" t="s">
        <v>1389</v>
      </c>
      <c r="K181" s="12"/>
      <c r="L181" s="9" t="s">
        <v>1390</v>
      </c>
      <c r="M181" s="10">
        <v>5</v>
      </c>
      <c r="N181" s="11" t="s">
        <v>1391</v>
      </c>
      <c r="O181" s="12">
        <v>6</v>
      </c>
      <c r="P181" s="9"/>
      <c r="Q181" s="10"/>
      <c r="R181" s="9"/>
      <c r="S181" s="10"/>
      <c r="T181" s="9"/>
      <c r="U181" s="10"/>
      <c r="V181" s="9"/>
      <c r="W181" s="12"/>
      <c r="X181" s="53">
        <f t="shared" si="2"/>
        <v>19</v>
      </c>
    </row>
    <row r="182" spans="1:24" x14ac:dyDescent="0.25">
      <c r="A182" s="6">
        <v>556</v>
      </c>
      <c r="B182" s="7" t="s">
        <v>1392</v>
      </c>
      <c r="C182" s="8" t="s">
        <v>1378</v>
      </c>
      <c r="D182" s="9" t="s">
        <v>1393</v>
      </c>
      <c r="E182" s="10"/>
      <c r="F182" s="11" t="s">
        <v>1394</v>
      </c>
      <c r="G182" s="12"/>
      <c r="H182" s="9" t="s">
        <v>1395</v>
      </c>
      <c r="I182" s="10"/>
      <c r="J182" s="11" t="s">
        <v>1396</v>
      </c>
      <c r="K182" s="12"/>
      <c r="L182" s="9"/>
      <c r="M182" s="10"/>
      <c r="N182" s="11"/>
      <c r="O182" s="12"/>
      <c r="P182" s="9"/>
      <c r="Q182" s="10"/>
      <c r="R182" s="9"/>
      <c r="S182" s="10"/>
      <c r="T182" s="9"/>
      <c r="U182" s="10"/>
      <c r="V182" s="9"/>
      <c r="W182" s="12"/>
      <c r="X182" s="53">
        <f t="shared" si="2"/>
        <v>0</v>
      </c>
    </row>
    <row r="183" spans="1:24" x14ac:dyDescent="0.25">
      <c r="A183" s="6">
        <v>560</v>
      </c>
      <c r="B183" s="7" t="s">
        <v>392</v>
      </c>
      <c r="C183" s="8" t="s">
        <v>1017</v>
      </c>
      <c r="D183" s="9" t="s">
        <v>1018</v>
      </c>
      <c r="E183" s="10">
        <v>5</v>
      </c>
      <c r="F183" s="11" t="s">
        <v>1019</v>
      </c>
      <c r="G183" s="12">
        <v>8</v>
      </c>
      <c r="H183" s="9" t="s">
        <v>1020</v>
      </c>
      <c r="I183" s="10">
        <v>6</v>
      </c>
      <c r="J183" s="11" t="s">
        <v>1021</v>
      </c>
      <c r="K183" s="12">
        <f>6+9+7+9</f>
        <v>31</v>
      </c>
      <c r="L183" s="9" t="s">
        <v>992</v>
      </c>
      <c r="M183" s="10">
        <f>2+6+4</f>
        <v>12</v>
      </c>
      <c r="N183" s="11" t="s">
        <v>157</v>
      </c>
      <c r="O183" s="12"/>
      <c r="P183" s="9" t="s">
        <v>1022</v>
      </c>
      <c r="Q183" s="10">
        <v>9</v>
      </c>
      <c r="R183" s="9" t="s">
        <v>1023</v>
      </c>
      <c r="S183" s="10"/>
      <c r="T183" s="9" t="s">
        <v>1024</v>
      </c>
      <c r="U183" s="10">
        <v>6</v>
      </c>
      <c r="V183" s="9"/>
      <c r="W183" s="12"/>
      <c r="X183" s="53">
        <f t="shared" si="2"/>
        <v>77</v>
      </c>
    </row>
    <row r="184" spans="1:24" x14ac:dyDescent="0.25">
      <c r="A184" s="6">
        <v>567</v>
      </c>
      <c r="B184" s="7" t="s">
        <v>613</v>
      </c>
      <c r="C184" s="8" t="s">
        <v>1525</v>
      </c>
      <c r="D184" s="9" t="s">
        <v>215</v>
      </c>
      <c r="E184" s="10"/>
      <c r="F184" s="11"/>
      <c r="G184" s="12"/>
      <c r="H184" s="9"/>
      <c r="I184" s="10"/>
      <c r="J184" s="11"/>
      <c r="K184" s="12"/>
      <c r="L184" s="9"/>
      <c r="M184" s="10"/>
      <c r="N184" s="11"/>
      <c r="O184" s="12"/>
      <c r="P184" s="9"/>
      <c r="Q184" s="10"/>
      <c r="R184" s="9"/>
      <c r="S184" s="10"/>
      <c r="T184" s="9"/>
      <c r="U184" s="10"/>
      <c r="V184" s="9"/>
      <c r="W184" s="12"/>
      <c r="X184" s="53">
        <f t="shared" si="2"/>
        <v>0</v>
      </c>
    </row>
    <row r="185" spans="1:24" x14ac:dyDescent="0.25">
      <c r="A185" s="6">
        <v>568</v>
      </c>
      <c r="B185" s="7" t="s">
        <v>1526</v>
      </c>
      <c r="C185" s="8" t="s">
        <v>1527</v>
      </c>
      <c r="D185" s="9" t="s">
        <v>215</v>
      </c>
      <c r="E185" s="10"/>
      <c r="F185" s="11"/>
      <c r="G185" s="12"/>
      <c r="H185" s="9"/>
      <c r="I185" s="10"/>
      <c r="J185" s="11"/>
      <c r="K185" s="12"/>
      <c r="L185" s="9"/>
      <c r="M185" s="10"/>
      <c r="N185" s="11"/>
      <c r="O185" s="12"/>
      <c r="P185" s="9"/>
      <c r="Q185" s="10"/>
      <c r="R185" s="9"/>
      <c r="S185" s="10"/>
      <c r="T185" s="9"/>
      <c r="U185" s="10"/>
      <c r="V185" s="9"/>
      <c r="W185" s="12"/>
      <c r="X185" s="53">
        <f t="shared" si="2"/>
        <v>0</v>
      </c>
    </row>
    <row r="186" spans="1:24" x14ac:dyDescent="0.25">
      <c r="A186" s="6">
        <v>569</v>
      </c>
      <c r="B186" s="7" t="s">
        <v>45</v>
      </c>
      <c r="C186" s="8" t="s">
        <v>1057</v>
      </c>
      <c r="D186" s="9" t="s">
        <v>1058</v>
      </c>
      <c r="E186" s="10">
        <v>6</v>
      </c>
      <c r="F186" s="11" t="s">
        <v>1077</v>
      </c>
      <c r="G186" s="12">
        <v>6</v>
      </c>
      <c r="H186" s="9"/>
      <c r="I186" s="10"/>
      <c r="J186" s="11"/>
      <c r="K186" s="12"/>
      <c r="L186" s="9"/>
      <c r="M186" s="10"/>
      <c r="N186" s="11"/>
      <c r="O186" s="12"/>
      <c r="P186" s="9"/>
      <c r="Q186" s="10"/>
      <c r="R186" s="9"/>
      <c r="S186" s="10"/>
      <c r="T186" s="9"/>
      <c r="U186" s="10"/>
      <c r="V186" s="9"/>
      <c r="W186" s="12"/>
      <c r="X186" s="53">
        <f t="shared" si="2"/>
        <v>12</v>
      </c>
    </row>
    <row r="187" spans="1:24" x14ac:dyDescent="0.25">
      <c r="A187" s="6">
        <v>570</v>
      </c>
      <c r="B187" s="7" t="s">
        <v>85</v>
      </c>
      <c r="C187" s="8" t="s">
        <v>961</v>
      </c>
      <c r="D187" s="9" t="s">
        <v>962</v>
      </c>
      <c r="E187" s="10">
        <f>9+6+5</f>
        <v>20</v>
      </c>
      <c r="F187" s="11" t="s">
        <v>440</v>
      </c>
      <c r="G187" s="12">
        <f>5+7</f>
        <v>12</v>
      </c>
      <c r="H187" s="9" t="s">
        <v>500</v>
      </c>
      <c r="I187" s="10">
        <f>6+6+6+5</f>
        <v>23</v>
      </c>
      <c r="J187" s="11" t="s">
        <v>1041</v>
      </c>
      <c r="K187" s="12">
        <f>5+4</f>
        <v>9</v>
      </c>
      <c r="L187" s="9" t="s">
        <v>1121</v>
      </c>
      <c r="M187" s="10">
        <v>6</v>
      </c>
      <c r="N187" s="11"/>
      <c r="O187" s="12"/>
      <c r="P187" s="9"/>
      <c r="Q187" s="10"/>
      <c r="R187" s="9"/>
      <c r="S187" s="10"/>
      <c r="T187" s="9"/>
      <c r="U187" s="10"/>
      <c r="V187" s="9"/>
      <c r="W187" s="12"/>
      <c r="X187" s="53">
        <f t="shared" si="2"/>
        <v>70</v>
      </c>
    </row>
    <row r="188" spans="1:24" x14ac:dyDescent="0.25">
      <c r="A188" s="6">
        <v>573</v>
      </c>
      <c r="B188" s="7" t="s">
        <v>465</v>
      </c>
      <c r="C188" s="8" t="s">
        <v>905</v>
      </c>
      <c r="D188" s="9" t="s">
        <v>906</v>
      </c>
      <c r="E188" s="10">
        <f>10+3</f>
        <v>13</v>
      </c>
      <c r="F188" s="11" t="s">
        <v>907</v>
      </c>
      <c r="G188" s="12"/>
      <c r="H188" s="9" t="s">
        <v>908</v>
      </c>
      <c r="I188" s="10">
        <f>5+7+7+5</f>
        <v>24</v>
      </c>
      <c r="J188" s="11" t="s">
        <v>500</v>
      </c>
      <c r="K188" s="12">
        <v>6</v>
      </c>
      <c r="L188" s="9" t="s">
        <v>909</v>
      </c>
      <c r="M188" s="10">
        <v>8</v>
      </c>
      <c r="N188" s="11" t="s">
        <v>683</v>
      </c>
      <c r="O188" s="12"/>
      <c r="P188" s="9" t="s">
        <v>910</v>
      </c>
      <c r="Q188" s="10"/>
      <c r="R188" s="9" t="s">
        <v>911</v>
      </c>
      <c r="S188" s="10">
        <v>8</v>
      </c>
      <c r="T188" s="9" t="s">
        <v>912</v>
      </c>
      <c r="U188" s="10"/>
      <c r="V188" s="9" t="s">
        <v>913</v>
      </c>
      <c r="W188" s="12"/>
      <c r="X188" s="53">
        <f t="shared" si="2"/>
        <v>59</v>
      </c>
    </row>
    <row r="189" spans="1:24" x14ac:dyDescent="0.25">
      <c r="A189" s="6">
        <v>575</v>
      </c>
      <c r="B189" s="7" t="s">
        <v>586</v>
      </c>
      <c r="C189" s="8" t="s">
        <v>241</v>
      </c>
      <c r="D189" s="9" t="s">
        <v>1035</v>
      </c>
      <c r="E189" s="10"/>
      <c r="F189" s="11" t="s">
        <v>370</v>
      </c>
      <c r="G189" s="12">
        <v>8</v>
      </c>
      <c r="H189" s="9" t="s">
        <v>1036</v>
      </c>
      <c r="I189" s="10"/>
      <c r="J189" s="11" t="s">
        <v>1037</v>
      </c>
      <c r="K189" s="12">
        <f>4+9</f>
        <v>13</v>
      </c>
      <c r="L189" s="9" t="s">
        <v>1038</v>
      </c>
      <c r="M189" s="10">
        <v>8</v>
      </c>
      <c r="N189" s="11"/>
      <c r="O189" s="12"/>
      <c r="P189" s="9"/>
      <c r="Q189" s="10"/>
      <c r="R189" s="9"/>
      <c r="S189" s="10"/>
      <c r="T189" s="9"/>
      <c r="U189" s="10"/>
      <c r="V189" s="9"/>
      <c r="W189" s="12"/>
      <c r="X189" s="53">
        <f t="shared" si="2"/>
        <v>29</v>
      </c>
    </row>
    <row r="190" spans="1:24" x14ac:dyDescent="0.25">
      <c r="A190" s="6">
        <v>579</v>
      </c>
      <c r="B190" s="7" t="s">
        <v>240</v>
      </c>
      <c r="C190" s="8" t="s">
        <v>1043</v>
      </c>
      <c r="D190" s="9" t="s">
        <v>1044</v>
      </c>
      <c r="E190" s="10"/>
      <c r="F190" s="11"/>
      <c r="G190" s="12"/>
      <c r="H190" s="9"/>
      <c r="I190" s="10"/>
      <c r="J190" s="11"/>
      <c r="K190" s="12"/>
      <c r="L190" s="9"/>
      <c r="M190" s="10"/>
      <c r="N190" s="11"/>
      <c r="O190" s="12"/>
      <c r="P190" s="9"/>
      <c r="Q190" s="10"/>
      <c r="R190" s="9"/>
      <c r="S190" s="10"/>
      <c r="T190" s="9"/>
      <c r="U190" s="10"/>
      <c r="V190" s="9"/>
      <c r="W190" s="12"/>
      <c r="X190" s="53">
        <f t="shared" si="2"/>
        <v>0</v>
      </c>
    </row>
    <row r="191" spans="1:24" x14ac:dyDescent="0.25">
      <c r="A191" s="6">
        <v>580</v>
      </c>
      <c r="B191" s="7" t="s">
        <v>219</v>
      </c>
      <c r="C191" s="8" t="s">
        <v>1033</v>
      </c>
      <c r="D191" s="9" t="s">
        <v>1034</v>
      </c>
      <c r="E191" s="10">
        <f>5+8+8+3</f>
        <v>24</v>
      </c>
      <c r="F191" s="11"/>
      <c r="G191" s="12"/>
      <c r="H191" s="9"/>
      <c r="I191" s="10"/>
      <c r="J191" s="11"/>
      <c r="K191" s="12"/>
      <c r="L191" s="9"/>
      <c r="M191" s="10"/>
      <c r="N191" s="11"/>
      <c r="O191" s="12"/>
      <c r="P191" s="9"/>
      <c r="Q191" s="10"/>
      <c r="R191" s="9"/>
      <c r="S191" s="10"/>
      <c r="T191" s="9"/>
      <c r="U191" s="10"/>
      <c r="V191" s="9"/>
      <c r="W191" s="12"/>
      <c r="X191" s="53">
        <f t="shared" si="2"/>
        <v>24</v>
      </c>
    </row>
    <row r="192" spans="1:24" x14ac:dyDescent="0.25">
      <c r="A192" s="6">
        <v>585</v>
      </c>
      <c r="B192" s="7" t="s">
        <v>445</v>
      </c>
      <c r="C192" s="8" t="s">
        <v>1517</v>
      </c>
      <c r="D192" s="9" t="s">
        <v>1394</v>
      </c>
      <c r="E192" s="10"/>
      <c r="F192" s="11" t="s">
        <v>1518</v>
      </c>
      <c r="G192" s="12"/>
      <c r="H192" s="9" t="s">
        <v>207</v>
      </c>
      <c r="I192" s="10">
        <f>7+4</f>
        <v>11</v>
      </c>
      <c r="J192" s="11" t="s">
        <v>1519</v>
      </c>
      <c r="K192" s="12"/>
      <c r="L192" s="9" t="s">
        <v>1520</v>
      </c>
      <c r="M192" s="10"/>
      <c r="N192" s="11" t="s">
        <v>1521</v>
      </c>
      <c r="O192" s="12">
        <f>8+7+7+4</f>
        <v>26</v>
      </c>
      <c r="P192" s="9" t="s">
        <v>1522</v>
      </c>
      <c r="Q192" s="10">
        <f>8+9+9+6</f>
        <v>32</v>
      </c>
      <c r="R192" s="9" t="s">
        <v>1523</v>
      </c>
      <c r="S192" s="10">
        <v>6</v>
      </c>
      <c r="T192" s="9" t="s">
        <v>1524</v>
      </c>
      <c r="U192" s="10">
        <f>9+9+6</f>
        <v>24</v>
      </c>
      <c r="V192" s="9"/>
      <c r="W192" s="12"/>
      <c r="X192" s="53">
        <f t="shared" si="2"/>
        <v>99</v>
      </c>
    </row>
    <row r="193" spans="1:24" x14ac:dyDescent="0.25">
      <c r="A193" s="6">
        <v>590</v>
      </c>
      <c r="B193" s="7" t="s">
        <v>1248</v>
      </c>
      <c r="C193" s="8" t="s">
        <v>1249</v>
      </c>
      <c r="D193" s="9" t="s">
        <v>1250</v>
      </c>
      <c r="E193" s="10">
        <v>10</v>
      </c>
      <c r="F193" s="11" t="s">
        <v>335</v>
      </c>
      <c r="G193" s="12">
        <v>8</v>
      </c>
      <c r="H193" s="9" t="s">
        <v>1251</v>
      </c>
      <c r="I193" s="10">
        <v>2</v>
      </c>
      <c r="J193" s="11" t="s">
        <v>549</v>
      </c>
      <c r="K193" s="12">
        <f>7+6+3</f>
        <v>16</v>
      </c>
      <c r="L193" s="9"/>
      <c r="M193" s="10"/>
      <c r="N193" s="11"/>
      <c r="O193" s="12"/>
      <c r="P193" s="9"/>
      <c r="Q193" s="10"/>
      <c r="R193" s="9"/>
      <c r="S193" s="10"/>
      <c r="T193" s="9"/>
      <c r="U193" s="10"/>
      <c r="V193" s="9"/>
      <c r="W193" s="12"/>
      <c r="X193" s="53">
        <f t="shared" si="2"/>
        <v>36</v>
      </c>
    </row>
    <row r="194" spans="1:24" x14ac:dyDescent="0.25">
      <c r="A194" s="6">
        <v>591</v>
      </c>
      <c r="B194" s="7" t="s">
        <v>1335</v>
      </c>
      <c r="C194" s="8" t="s">
        <v>1336</v>
      </c>
      <c r="D194" s="9" t="s">
        <v>1238</v>
      </c>
      <c r="E194" s="10"/>
      <c r="F194" s="11" t="s">
        <v>1337</v>
      </c>
      <c r="G194" s="12"/>
      <c r="H194" s="9" t="s">
        <v>1338</v>
      </c>
      <c r="I194" s="10"/>
      <c r="J194" s="11" t="s">
        <v>1339</v>
      </c>
      <c r="K194" s="12"/>
      <c r="L194" s="9" t="s">
        <v>1053</v>
      </c>
      <c r="M194" s="10"/>
      <c r="N194" s="11" t="s">
        <v>1340</v>
      </c>
      <c r="O194" s="12">
        <v>6</v>
      </c>
      <c r="P194" s="9" t="s">
        <v>1341</v>
      </c>
      <c r="Q194" s="10">
        <v>7</v>
      </c>
      <c r="R194" s="9" t="s">
        <v>1342</v>
      </c>
      <c r="S194" s="10">
        <v>5</v>
      </c>
      <c r="T194" s="9" t="s">
        <v>1343</v>
      </c>
      <c r="U194" s="10"/>
      <c r="V194" s="9"/>
      <c r="W194" s="12"/>
      <c r="X194" s="53">
        <f t="shared" si="2"/>
        <v>18</v>
      </c>
    </row>
    <row r="195" spans="1:24" x14ac:dyDescent="0.25">
      <c r="A195" s="6">
        <v>593</v>
      </c>
      <c r="B195" s="7" t="s">
        <v>129</v>
      </c>
      <c r="C195" s="8" t="s">
        <v>967</v>
      </c>
      <c r="D195" s="9" t="s">
        <v>968</v>
      </c>
      <c r="E195" s="10"/>
      <c r="F195" s="11" t="s">
        <v>969</v>
      </c>
      <c r="G195" s="12"/>
      <c r="H195" s="9" t="s">
        <v>970</v>
      </c>
      <c r="I195" s="10"/>
      <c r="J195" s="11" t="s">
        <v>971</v>
      </c>
      <c r="K195" s="12"/>
      <c r="L195" s="9" t="s">
        <v>972</v>
      </c>
      <c r="M195" s="10"/>
      <c r="N195" s="11"/>
      <c r="O195" s="12"/>
      <c r="P195" s="9"/>
      <c r="Q195" s="10"/>
      <c r="R195" s="9"/>
      <c r="S195" s="10"/>
      <c r="T195" s="9"/>
      <c r="U195" s="10"/>
      <c r="V195" s="9"/>
      <c r="W195" s="12"/>
      <c r="X195" s="53">
        <f t="shared" si="2"/>
        <v>0</v>
      </c>
    </row>
    <row r="196" spans="1:24" x14ac:dyDescent="0.25">
      <c r="A196" s="6">
        <v>597</v>
      </c>
      <c r="B196" s="7" t="s">
        <v>85</v>
      </c>
      <c r="C196" s="8" t="s">
        <v>985</v>
      </c>
      <c r="D196" s="9" t="s">
        <v>986</v>
      </c>
      <c r="E196" s="10">
        <f>8+2</f>
        <v>10</v>
      </c>
      <c r="F196" s="11" t="s">
        <v>987</v>
      </c>
      <c r="G196" s="12"/>
      <c r="H196" s="9" t="s">
        <v>988</v>
      </c>
      <c r="I196" s="10">
        <f>4+7+5</f>
        <v>16</v>
      </c>
      <c r="J196" s="11" t="s">
        <v>989</v>
      </c>
      <c r="K196" s="12"/>
      <c r="L196" s="9" t="s">
        <v>990</v>
      </c>
      <c r="M196" s="10"/>
      <c r="N196" s="11" t="s">
        <v>991</v>
      </c>
      <c r="O196" s="12"/>
      <c r="P196" s="9" t="s">
        <v>992</v>
      </c>
      <c r="Q196" s="10"/>
      <c r="R196" s="9" t="s">
        <v>493</v>
      </c>
      <c r="S196" s="10">
        <f>7+4</f>
        <v>11</v>
      </c>
      <c r="T196" s="9" t="s">
        <v>626</v>
      </c>
      <c r="U196" s="10"/>
      <c r="V196" s="9" t="s">
        <v>993</v>
      </c>
      <c r="W196" s="12"/>
      <c r="X196" s="53">
        <f t="shared" ref="X196:X204" si="3">E196+G196+I196+K196+M196+O196+Q196+S196+U196+W196</f>
        <v>37</v>
      </c>
    </row>
    <row r="197" spans="1:24" x14ac:dyDescent="0.25">
      <c r="A197" s="6">
        <v>598</v>
      </c>
      <c r="B197" s="7" t="s">
        <v>953</v>
      </c>
      <c r="C197" s="8" t="s">
        <v>954</v>
      </c>
      <c r="D197" s="9" t="s">
        <v>955</v>
      </c>
      <c r="E197" s="10"/>
      <c r="F197" s="11" t="s">
        <v>956</v>
      </c>
      <c r="G197" s="12"/>
      <c r="H197" s="9" t="s">
        <v>673</v>
      </c>
      <c r="I197" s="10">
        <v>6</v>
      </c>
      <c r="J197" s="11" t="s">
        <v>957</v>
      </c>
      <c r="K197" s="12"/>
      <c r="L197" s="9" t="s">
        <v>958</v>
      </c>
      <c r="M197" s="10"/>
      <c r="N197" s="11"/>
      <c r="O197" s="12"/>
      <c r="P197" s="9"/>
      <c r="Q197" s="10"/>
      <c r="R197" s="9"/>
      <c r="S197" s="10"/>
      <c r="T197" s="9"/>
      <c r="U197" s="10"/>
      <c r="V197" s="9"/>
      <c r="W197" s="12"/>
      <c r="X197" s="53">
        <f t="shared" si="3"/>
        <v>6</v>
      </c>
    </row>
    <row r="198" spans="1:24" x14ac:dyDescent="0.25">
      <c r="A198" s="6">
        <v>604</v>
      </c>
      <c r="B198" s="7" t="s">
        <v>1039</v>
      </c>
      <c r="C198" s="8" t="s">
        <v>1040</v>
      </c>
      <c r="D198" s="9" t="s">
        <v>1002</v>
      </c>
      <c r="E198" s="10"/>
      <c r="F198" s="11"/>
      <c r="G198" s="12"/>
      <c r="H198" s="9"/>
      <c r="I198" s="10"/>
      <c r="J198" s="11"/>
      <c r="K198" s="12"/>
      <c r="L198" s="9"/>
      <c r="M198" s="10"/>
      <c r="N198" s="11"/>
      <c r="O198" s="12"/>
      <c r="P198" s="9"/>
      <c r="Q198" s="10"/>
      <c r="R198" s="9"/>
      <c r="S198" s="10"/>
      <c r="T198" s="9"/>
      <c r="U198" s="10"/>
      <c r="V198" s="9"/>
      <c r="W198" s="12"/>
      <c r="X198" s="53">
        <f t="shared" si="3"/>
        <v>0</v>
      </c>
    </row>
    <row r="199" spans="1:24" x14ac:dyDescent="0.25">
      <c r="A199" s="6">
        <v>605</v>
      </c>
      <c r="B199" s="7" t="s">
        <v>1000</v>
      </c>
      <c r="C199" s="8" t="s">
        <v>1001</v>
      </c>
      <c r="D199" s="9" t="s">
        <v>391</v>
      </c>
      <c r="E199" s="10">
        <v>6</v>
      </c>
      <c r="F199" s="11"/>
      <c r="G199" s="12"/>
      <c r="H199" s="9"/>
      <c r="I199" s="10"/>
      <c r="J199" s="11"/>
      <c r="K199" s="12"/>
      <c r="L199" s="9"/>
      <c r="M199" s="10"/>
      <c r="N199" s="11"/>
      <c r="O199" s="12"/>
      <c r="P199" s="9"/>
      <c r="Q199" s="10"/>
      <c r="R199" s="9"/>
      <c r="S199" s="10"/>
      <c r="T199" s="9"/>
      <c r="U199" s="10"/>
      <c r="V199" s="9"/>
      <c r="W199" s="12"/>
      <c r="X199" s="53">
        <f t="shared" si="3"/>
        <v>6</v>
      </c>
    </row>
    <row r="200" spans="1:24" x14ac:dyDescent="0.25">
      <c r="A200" s="6">
        <v>606</v>
      </c>
      <c r="B200" s="7" t="s">
        <v>782</v>
      </c>
      <c r="C200" s="8" t="s">
        <v>783</v>
      </c>
      <c r="D200" s="9" t="s">
        <v>784</v>
      </c>
      <c r="E200" s="10">
        <v>6</v>
      </c>
      <c r="F200" s="11" t="s">
        <v>785</v>
      </c>
      <c r="G200" s="12">
        <v>1</v>
      </c>
      <c r="H200" s="9" t="s">
        <v>786</v>
      </c>
      <c r="I200" s="10">
        <v>3</v>
      </c>
      <c r="J200" s="11" t="s">
        <v>233</v>
      </c>
      <c r="K200" s="12"/>
      <c r="L200" s="9" t="s">
        <v>787</v>
      </c>
      <c r="M200" s="10">
        <v>8</v>
      </c>
      <c r="N200" s="11" t="s">
        <v>788</v>
      </c>
      <c r="O200" s="12">
        <f>6+7</f>
        <v>13</v>
      </c>
      <c r="P200" s="9" t="s">
        <v>789</v>
      </c>
      <c r="Q200" s="10">
        <v>6</v>
      </c>
      <c r="R200" s="9" t="s">
        <v>790</v>
      </c>
      <c r="S200" s="10"/>
      <c r="T200" s="9" t="s">
        <v>791</v>
      </c>
      <c r="U200" s="10">
        <v>9</v>
      </c>
      <c r="V200" s="9"/>
      <c r="W200" s="12"/>
      <c r="X200" s="53">
        <f t="shared" si="3"/>
        <v>46</v>
      </c>
    </row>
    <row r="201" spans="1:24" x14ac:dyDescent="0.25">
      <c r="A201" s="6">
        <v>612</v>
      </c>
      <c r="B201" s="7" t="s">
        <v>1089</v>
      </c>
      <c r="C201" s="8" t="s">
        <v>1090</v>
      </c>
      <c r="D201" s="9" t="s">
        <v>1091</v>
      </c>
      <c r="E201" s="10">
        <v>8</v>
      </c>
      <c r="F201" s="11" t="s">
        <v>1092</v>
      </c>
      <c r="G201" s="12"/>
      <c r="H201" s="9" t="s">
        <v>347</v>
      </c>
      <c r="I201" s="10"/>
      <c r="J201" s="11" t="s">
        <v>1093</v>
      </c>
      <c r="K201" s="12"/>
      <c r="L201" s="9"/>
      <c r="M201" s="10"/>
      <c r="N201" s="11"/>
      <c r="O201" s="12"/>
      <c r="P201" s="9"/>
      <c r="Q201" s="10"/>
      <c r="R201" s="9"/>
      <c r="S201" s="10"/>
      <c r="T201" s="9"/>
      <c r="U201" s="10"/>
      <c r="V201" s="9"/>
      <c r="W201" s="12"/>
      <c r="X201" s="53">
        <f t="shared" si="3"/>
        <v>8</v>
      </c>
    </row>
    <row r="202" spans="1:24" x14ac:dyDescent="0.25">
      <c r="A202" s="6">
        <v>613</v>
      </c>
      <c r="B202" s="7" t="s">
        <v>129</v>
      </c>
      <c r="C202" s="8" t="s">
        <v>1490</v>
      </c>
      <c r="D202" s="9" t="s">
        <v>1491</v>
      </c>
      <c r="E202" s="10"/>
      <c r="F202" s="11" t="s">
        <v>268</v>
      </c>
      <c r="G202" s="12">
        <v>3</v>
      </c>
      <c r="H202" s="9" t="s">
        <v>1492</v>
      </c>
      <c r="I202" s="10"/>
      <c r="J202" s="11" t="s">
        <v>892</v>
      </c>
      <c r="K202" s="12">
        <v>8</v>
      </c>
      <c r="L202" s="9" t="s">
        <v>1493</v>
      </c>
      <c r="M202" s="10">
        <v>4</v>
      </c>
      <c r="N202" s="11" t="s">
        <v>731</v>
      </c>
      <c r="O202" s="12"/>
      <c r="P202" s="9" t="s">
        <v>1494</v>
      </c>
      <c r="Q202" s="10"/>
      <c r="R202" s="9" t="s">
        <v>1495</v>
      </c>
      <c r="S202" s="10">
        <v>2</v>
      </c>
      <c r="T202" s="9" t="s">
        <v>500</v>
      </c>
      <c r="U202" s="10">
        <v>6</v>
      </c>
      <c r="V202" s="9"/>
      <c r="W202" s="12"/>
      <c r="X202" s="53">
        <f t="shared" si="3"/>
        <v>23</v>
      </c>
    </row>
    <row r="203" spans="1:24" ht="15.75" thickBot="1" x14ac:dyDescent="0.3">
      <c r="A203" s="6">
        <v>620</v>
      </c>
      <c r="B203" s="7" t="s">
        <v>465</v>
      </c>
      <c r="C203" s="8" t="s">
        <v>1408</v>
      </c>
      <c r="D203" s="9" t="s">
        <v>1409</v>
      </c>
      <c r="E203" s="10"/>
      <c r="F203" s="11" t="s">
        <v>1410</v>
      </c>
      <c r="G203" s="12"/>
      <c r="H203" s="9" t="s">
        <v>1411</v>
      </c>
      <c r="I203" s="10"/>
      <c r="J203" s="11"/>
      <c r="K203" s="12"/>
      <c r="L203" s="9"/>
      <c r="M203" s="10"/>
      <c r="N203" s="11"/>
      <c r="O203" s="12"/>
      <c r="P203" s="9"/>
      <c r="Q203" s="10"/>
      <c r="R203" s="9"/>
      <c r="S203" s="10"/>
      <c r="T203" s="9"/>
      <c r="U203" s="10"/>
      <c r="V203" s="9"/>
      <c r="W203" s="12"/>
      <c r="X203" s="54">
        <f t="shared" si="3"/>
        <v>0</v>
      </c>
    </row>
    <row r="204" spans="1:24" ht="15.75" thickBot="1" x14ac:dyDescent="0.3">
      <c r="A204" s="13">
        <v>621</v>
      </c>
      <c r="B204" s="14" t="s">
        <v>280</v>
      </c>
      <c r="C204" s="15" t="s">
        <v>1122</v>
      </c>
      <c r="D204" s="16" t="s">
        <v>1240</v>
      </c>
      <c r="E204" s="17">
        <v>4</v>
      </c>
      <c r="F204" s="18" t="s">
        <v>1241</v>
      </c>
      <c r="G204" s="19">
        <v>6</v>
      </c>
      <c r="H204" s="16" t="s">
        <v>1242</v>
      </c>
      <c r="I204" s="17"/>
      <c r="J204" s="18" t="s">
        <v>1243</v>
      </c>
      <c r="K204" s="19"/>
      <c r="L204" s="16" t="s">
        <v>1244</v>
      </c>
      <c r="M204" s="17"/>
      <c r="N204" s="18" t="s">
        <v>1245</v>
      </c>
      <c r="O204" s="19"/>
      <c r="P204" s="16" t="s">
        <v>1246</v>
      </c>
      <c r="Q204" s="17">
        <v>7</v>
      </c>
      <c r="R204" s="16" t="s">
        <v>1247</v>
      </c>
      <c r="S204" s="17"/>
      <c r="T204" s="16"/>
      <c r="U204" s="17"/>
      <c r="V204" s="16"/>
      <c r="W204" s="19"/>
      <c r="X204" s="54">
        <f t="shared" si="3"/>
        <v>17</v>
      </c>
    </row>
    <row r="206" spans="1:24" x14ac:dyDescent="0.25">
      <c r="D206" s="25"/>
      <c r="E206" s="24"/>
      <c r="F206"/>
      <c r="G206"/>
    </row>
    <row r="207" spans="1:24" ht="15.75" thickBot="1" x14ac:dyDescent="0.3">
      <c r="A207" s="23" t="s">
        <v>20</v>
      </c>
      <c r="B207" s="24"/>
      <c r="C207" s="24"/>
    </row>
    <row r="208" spans="1:24" ht="15.75" thickBot="1" x14ac:dyDescent="0.3">
      <c r="A208" s="26" t="s">
        <v>21</v>
      </c>
      <c r="B208" s="27" t="s">
        <v>22</v>
      </c>
      <c r="C208" s="28" t="s">
        <v>2</v>
      </c>
      <c r="D208" s="29" t="s">
        <v>3</v>
      </c>
      <c r="E208" s="30" t="s">
        <v>1</v>
      </c>
      <c r="F208"/>
      <c r="G208"/>
    </row>
    <row r="209" spans="1:7" ht="15.75" thickTop="1" x14ac:dyDescent="0.25">
      <c r="A209" s="31" t="s">
        <v>23</v>
      </c>
      <c r="B209" s="32">
        <v>171</v>
      </c>
      <c r="C209" s="33" t="s">
        <v>336</v>
      </c>
      <c r="D209" s="33" t="s">
        <v>1139</v>
      </c>
      <c r="E209" s="34">
        <v>61</v>
      </c>
      <c r="F209"/>
      <c r="G209"/>
    </row>
    <row r="210" spans="1:7" x14ac:dyDescent="0.25">
      <c r="A210" s="35" t="s">
        <v>24</v>
      </c>
      <c r="B210" s="36">
        <v>158</v>
      </c>
      <c r="C210" s="33" t="s">
        <v>94</v>
      </c>
      <c r="D210" s="33" t="s">
        <v>472</v>
      </c>
      <c r="E210" s="37">
        <v>90</v>
      </c>
      <c r="F210"/>
      <c r="G210"/>
    </row>
    <row r="211" spans="1:7" ht="15.75" thickBot="1" x14ac:dyDescent="0.3">
      <c r="A211" s="38" t="s">
        <v>25</v>
      </c>
      <c r="B211" s="39">
        <v>152</v>
      </c>
      <c r="C211" s="40" t="s">
        <v>677</v>
      </c>
      <c r="D211" s="40" t="s">
        <v>678</v>
      </c>
      <c r="E211" s="41">
        <v>218</v>
      </c>
      <c r="F211"/>
      <c r="G211"/>
    </row>
    <row r="212" spans="1:7" x14ac:dyDescent="0.25">
      <c r="A212" s="42"/>
      <c r="B212"/>
      <c r="C212"/>
      <c r="D212"/>
      <c r="E212"/>
      <c r="F212"/>
      <c r="G212"/>
    </row>
    <row r="213" spans="1:7" x14ac:dyDescent="0.25">
      <c r="A213" s="42"/>
      <c r="B213"/>
      <c r="C213"/>
      <c r="D213"/>
      <c r="E213"/>
      <c r="F213"/>
      <c r="G213"/>
    </row>
    <row r="214" spans="1:7" ht="15.75" thickBot="1" x14ac:dyDescent="0.3">
      <c r="A214" s="23" t="s">
        <v>26</v>
      </c>
      <c r="B214" s="24"/>
      <c r="C214" s="24"/>
      <c r="D214" s="25"/>
      <c r="E214" s="24"/>
      <c r="F214"/>
      <c r="G214"/>
    </row>
    <row r="215" spans="1:7" ht="15.75" thickBot="1" x14ac:dyDescent="0.3">
      <c r="A215" s="26" t="s">
        <v>21</v>
      </c>
      <c r="B215" s="27" t="s">
        <v>22</v>
      </c>
      <c r="C215" s="88" t="s">
        <v>27</v>
      </c>
      <c r="D215" s="89"/>
      <c r="E215" s="27" t="s">
        <v>2</v>
      </c>
      <c r="F215" s="47" t="s">
        <v>3</v>
      </c>
      <c r="G215" s="30" t="s">
        <v>1</v>
      </c>
    </row>
    <row r="216" spans="1:7" ht="15.75" thickTop="1" x14ac:dyDescent="0.25">
      <c r="A216" s="31" t="s">
        <v>23</v>
      </c>
      <c r="B216" s="55">
        <v>69</v>
      </c>
      <c r="C216" s="90" t="s">
        <v>1148</v>
      </c>
      <c r="D216" s="91"/>
      <c r="E216" s="33" t="s">
        <v>336</v>
      </c>
      <c r="F216" s="43" t="s">
        <v>1139</v>
      </c>
      <c r="G216" s="44">
        <v>61</v>
      </c>
    </row>
    <row r="217" spans="1:7" x14ac:dyDescent="0.25">
      <c r="A217" s="35" t="s">
        <v>24</v>
      </c>
      <c r="B217" s="56">
        <v>53</v>
      </c>
      <c r="C217" s="92" t="s">
        <v>723</v>
      </c>
      <c r="D217" s="93"/>
      <c r="E217" s="33" t="s">
        <v>465</v>
      </c>
      <c r="F217" s="33" t="s">
        <v>721</v>
      </c>
      <c r="G217" s="45">
        <v>175</v>
      </c>
    </row>
    <row r="218" spans="1:7" ht="15.75" thickBot="1" x14ac:dyDescent="0.3">
      <c r="A218" s="38" t="s">
        <v>25</v>
      </c>
      <c r="B218" s="57">
        <v>50</v>
      </c>
      <c r="C218" s="94" t="s">
        <v>78</v>
      </c>
      <c r="D218" s="95"/>
      <c r="E218" s="40" t="s">
        <v>109</v>
      </c>
      <c r="F218" s="40" t="s">
        <v>1228</v>
      </c>
      <c r="G218" s="46">
        <v>520</v>
      </c>
    </row>
  </sheetData>
  <sortState ref="A4:X204">
    <sortCondition ref="A4:A204"/>
  </sortState>
  <mergeCells count="19">
    <mergeCell ref="C215:D215"/>
    <mergeCell ref="C216:D216"/>
    <mergeCell ref="C217:D217"/>
    <mergeCell ref="C218:D218"/>
    <mergeCell ref="V2:W2"/>
    <mergeCell ref="X2:X3"/>
    <mergeCell ref="P2:Q2"/>
    <mergeCell ref="A1:Q1"/>
    <mergeCell ref="A2:A3"/>
    <mergeCell ref="B2:B3"/>
    <mergeCell ref="C2:C3"/>
    <mergeCell ref="D2:E2"/>
    <mergeCell ref="F2:G2"/>
    <mergeCell ref="H2:I2"/>
    <mergeCell ref="J2:K2"/>
    <mergeCell ref="L2:M2"/>
    <mergeCell ref="N2:O2"/>
    <mergeCell ref="R2:S2"/>
    <mergeCell ref="T2:U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zoomScale="85" zoomScaleNormal="85" workbookViewId="0">
      <pane ySplit="3" topLeftCell="A61" activePane="bottomLeft" state="frozen"/>
      <selection pane="bottomLeft" activeCell="A89" sqref="A89"/>
    </sheetView>
  </sheetViews>
  <sheetFormatPr defaultRowHeight="15" x14ac:dyDescent="0.25"/>
  <cols>
    <col min="1" max="1" width="9.140625" style="1" bestFit="1" customWidth="1"/>
    <col min="2" max="2" width="11.85546875" style="1" bestFit="1" customWidth="1"/>
    <col min="3" max="3" width="13.42578125" style="1" bestFit="1" customWidth="1"/>
    <col min="4" max="4" width="9.140625" style="22" bestFit="1" customWidth="1"/>
    <col min="5" max="5" width="27.85546875" style="1" bestFit="1" customWidth="1"/>
    <col min="6" max="6" width="9.28515625" style="1" bestFit="1" customWidth="1"/>
    <col min="7" max="7" width="18.7109375" style="1" customWidth="1"/>
    <col min="8" max="8" width="5.7109375" style="1" customWidth="1"/>
    <col min="9" max="9" width="18.7109375" style="1" customWidth="1"/>
    <col min="10" max="10" width="5.7109375" style="1" customWidth="1"/>
    <col min="11" max="11" width="18.7109375" style="1" customWidth="1"/>
    <col min="12" max="12" width="5.7109375" style="1" customWidth="1"/>
    <col min="13" max="13" width="18.7109375" style="1" customWidth="1"/>
    <col min="14" max="14" width="5.7109375" style="1" customWidth="1"/>
    <col min="15" max="15" width="18.7109375" style="1" customWidth="1"/>
    <col min="16" max="16" width="5.7109375" style="1" customWidth="1"/>
    <col min="17" max="17" width="18.7109375" style="1" customWidth="1"/>
    <col min="18" max="18" width="5.7109375" style="1" customWidth="1"/>
    <col min="19" max="19" width="18.7109375" style="1" customWidth="1"/>
    <col min="20" max="20" width="5.7109375" style="1" customWidth="1"/>
    <col min="21" max="21" width="18.7109375" style="1" customWidth="1"/>
    <col min="22" max="22" width="5.7109375" style="1" customWidth="1"/>
    <col min="23" max="23" width="18.7109375" style="1" customWidth="1"/>
    <col min="24" max="24" width="5.7109375" style="1" customWidth="1"/>
    <col min="25" max="16384" width="9.140625" style="1"/>
  </cols>
  <sheetData>
    <row r="1" spans="1:25" ht="24" thickBot="1" x14ac:dyDescent="0.4">
      <c r="A1" s="101" t="s">
        <v>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25" x14ac:dyDescent="0.25">
      <c r="A2" s="80" t="s">
        <v>1</v>
      </c>
      <c r="B2" s="82" t="s">
        <v>2</v>
      </c>
      <c r="C2" s="82" t="s">
        <v>3</v>
      </c>
      <c r="D2" s="84" t="s">
        <v>7</v>
      </c>
      <c r="E2" s="77" t="s">
        <v>9</v>
      </c>
      <c r="F2" s="78"/>
      <c r="G2" s="86" t="s">
        <v>10</v>
      </c>
      <c r="H2" s="87"/>
      <c r="I2" s="77" t="s">
        <v>11</v>
      </c>
      <c r="J2" s="78"/>
      <c r="K2" s="86" t="s">
        <v>12</v>
      </c>
      <c r="L2" s="87"/>
      <c r="M2" s="77" t="s">
        <v>13</v>
      </c>
      <c r="N2" s="78"/>
      <c r="O2" s="77" t="s">
        <v>14</v>
      </c>
      <c r="P2" s="78"/>
      <c r="Q2" s="77" t="s">
        <v>15</v>
      </c>
      <c r="R2" s="78"/>
      <c r="S2" s="77" t="s">
        <v>16</v>
      </c>
      <c r="T2" s="78"/>
      <c r="U2" s="77" t="s">
        <v>17</v>
      </c>
      <c r="V2" s="78"/>
      <c r="W2" s="77" t="s">
        <v>18</v>
      </c>
      <c r="X2" s="87"/>
      <c r="Y2" s="99" t="s">
        <v>19</v>
      </c>
    </row>
    <row r="3" spans="1:25" x14ac:dyDescent="0.25">
      <c r="A3" s="81"/>
      <c r="B3" s="83"/>
      <c r="C3" s="83"/>
      <c r="D3" s="85"/>
      <c r="E3" s="2" t="s">
        <v>4</v>
      </c>
      <c r="F3" s="3" t="s">
        <v>5</v>
      </c>
      <c r="G3" s="4" t="s">
        <v>4</v>
      </c>
      <c r="H3" s="5" t="s">
        <v>5</v>
      </c>
      <c r="I3" s="2" t="s">
        <v>4</v>
      </c>
      <c r="J3" s="3" t="s">
        <v>5</v>
      </c>
      <c r="K3" s="4" t="s">
        <v>4</v>
      </c>
      <c r="L3" s="5" t="s">
        <v>5</v>
      </c>
      <c r="M3" s="2" t="s">
        <v>4</v>
      </c>
      <c r="N3" s="3" t="s">
        <v>5</v>
      </c>
      <c r="O3" s="2" t="s">
        <v>4</v>
      </c>
      <c r="P3" s="3" t="s">
        <v>5</v>
      </c>
      <c r="Q3" s="2" t="s">
        <v>4</v>
      </c>
      <c r="R3" s="3" t="s">
        <v>5</v>
      </c>
      <c r="S3" s="2" t="s">
        <v>4</v>
      </c>
      <c r="T3" s="3" t="s">
        <v>5</v>
      </c>
      <c r="U3" s="2" t="s">
        <v>4</v>
      </c>
      <c r="V3" s="3" t="s">
        <v>5</v>
      </c>
      <c r="W3" s="2" t="s">
        <v>4</v>
      </c>
      <c r="X3" s="5" t="s">
        <v>5</v>
      </c>
      <c r="Y3" s="100"/>
    </row>
    <row r="4" spans="1:25" x14ac:dyDescent="0.25">
      <c r="A4" s="6">
        <v>60</v>
      </c>
      <c r="B4" s="7" t="s">
        <v>1138</v>
      </c>
      <c r="C4" s="7" t="s">
        <v>1139</v>
      </c>
      <c r="D4" s="20">
        <v>2006</v>
      </c>
      <c r="E4" s="9" t="s">
        <v>1140</v>
      </c>
      <c r="F4" s="10">
        <f>7+8+7+8+8+7</f>
        <v>45</v>
      </c>
      <c r="G4" s="11" t="s">
        <v>1141</v>
      </c>
      <c r="H4" s="12">
        <f>8+9+6+10+8+8+6</f>
        <v>55</v>
      </c>
      <c r="I4" s="9" t="s">
        <v>846</v>
      </c>
      <c r="J4" s="10">
        <f>8+10+6+7</f>
        <v>31</v>
      </c>
      <c r="K4" s="11" t="s">
        <v>1142</v>
      </c>
      <c r="L4" s="12">
        <v>5</v>
      </c>
      <c r="M4" s="9" t="s">
        <v>1143</v>
      </c>
      <c r="N4" s="10"/>
      <c r="O4" s="9" t="s">
        <v>1144</v>
      </c>
      <c r="P4" s="10"/>
      <c r="Q4" s="9" t="s">
        <v>312</v>
      </c>
      <c r="R4" s="10"/>
      <c r="S4" s="9" t="s">
        <v>1145</v>
      </c>
      <c r="T4" s="10">
        <v>10</v>
      </c>
      <c r="U4" s="9"/>
      <c r="V4" s="10"/>
      <c r="W4" s="9"/>
      <c r="X4" s="12"/>
      <c r="Y4" s="53">
        <f t="shared" ref="Y4:Y35" si="0">F4+H4+J4+L4+N4+P4+R4+T4+V4+X4</f>
        <v>146</v>
      </c>
    </row>
    <row r="5" spans="1:25" x14ac:dyDescent="0.25">
      <c r="A5" s="6">
        <v>70</v>
      </c>
      <c r="B5" s="7" t="s">
        <v>1042</v>
      </c>
      <c r="C5" s="8" t="s">
        <v>983</v>
      </c>
      <c r="D5" s="20">
        <v>2005</v>
      </c>
      <c r="E5" s="9" t="s">
        <v>141</v>
      </c>
      <c r="F5" s="10">
        <f>8+3+3+3</f>
        <v>17</v>
      </c>
      <c r="G5" s="11"/>
      <c r="H5" s="12"/>
      <c r="I5" s="9"/>
      <c r="J5" s="10"/>
      <c r="K5" s="11"/>
      <c r="L5" s="12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2"/>
      <c r="Y5" s="53">
        <f t="shared" si="0"/>
        <v>17</v>
      </c>
    </row>
    <row r="6" spans="1:25" x14ac:dyDescent="0.25">
      <c r="A6" s="6">
        <v>124</v>
      </c>
      <c r="B6" s="7" t="s">
        <v>623</v>
      </c>
      <c r="C6" s="8" t="s">
        <v>624</v>
      </c>
      <c r="D6" s="20">
        <v>2001</v>
      </c>
      <c r="E6" s="9" t="s">
        <v>617</v>
      </c>
      <c r="F6" s="10">
        <f>4+4+2</f>
        <v>10</v>
      </c>
      <c r="G6" s="11"/>
      <c r="H6" s="12"/>
      <c r="I6" s="9"/>
      <c r="J6" s="10"/>
      <c r="K6" s="11"/>
      <c r="L6" s="12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2"/>
      <c r="Y6" s="53">
        <f t="shared" si="0"/>
        <v>10</v>
      </c>
    </row>
    <row r="7" spans="1:25" x14ac:dyDescent="0.25">
      <c r="A7" s="6">
        <v>125</v>
      </c>
      <c r="B7" s="7" t="s">
        <v>586</v>
      </c>
      <c r="C7" s="7" t="s">
        <v>625</v>
      </c>
      <c r="D7" s="20">
        <v>2000</v>
      </c>
      <c r="E7" s="9" t="s">
        <v>81</v>
      </c>
      <c r="F7" s="10">
        <f>5+3+2</f>
        <v>10</v>
      </c>
      <c r="G7" s="11" t="s">
        <v>626</v>
      </c>
      <c r="H7" s="12">
        <f>7+4+3+2</f>
        <v>16</v>
      </c>
      <c r="I7" s="9" t="s">
        <v>141</v>
      </c>
      <c r="J7" s="10">
        <f>4+1</f>
        <v>5</v>
      </c>
      <c r="K7" s="11"/>
      <c r="L7" s="12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2"/>
      <c r="Y7" s="53">
        <f t="shared" si="0"/>
        <v>31</v>
      </c>
    </row>
    <row r="8" spans="1:25" x14ac:dyDescent="0.25">
      <c r="A8" s="6">
        <v>136</v>
      </c>
      <c r="B8" s="7" t="s">
        <v>90</v>
      </c>
      <c r="C8" s="7" t="s">
        <v>91</v>
      </c>
      <c r="D8" s="20">
        <v>2008</v>
      </c>
      <c r="E8" s="9" t="s">
        <v>92</v>
      </c>
      <c r="F8" s="10">
        <f>7+5+6</f>
        <v>18</v>
      </c>
      <c r="G8" s="11" t="s">
        <v>93</v>
      </c>
      <c r="H8" s="12">
        <v>4</v>
      </c>
      <c r="I8" s="9"/>
      <c r="J8" s="10"/>
      <c r="K8" s="11"/>
      <c r="L8" s="12"/>
      <c r="M8" s="9"/>
      <c r="N8" s="10"/>
      <c r="O8" s="9"/>
      <c r="P8" s="10"/>
      <c r="Q8" s="9"/>
      <c r="R8" s="10"/>
      <c r="S8" s="9"/>
      <c r="T8" s="10"/>
      <c r="U8" s="9"/>
      <c r="V8" s="10"/>
      <c r="W8" s="9"/>
      <c r="X8" s="12"/>
      <c r="Y8" s="53">
        <f t="shared" si="0"/>
        <v>22</v>
      </c>
    </row>
    <row r="9" spans="1:25" x14ac:dyDescent="0.25">
      <c r="A9" s="6">
        <v>143</v>
      </c>
      <c r="B9" s="7" t="s">
        <v>131</v>
      </c>
      <c r="C9" s="7" t="s">
        <v>130</v>
      </c>
      <c r="D9" s="20">
        <v>2007</v>
      </c>
      <c r="E9" s="9" t="s">
        <v>132</v>
      </c>
      <c r="F9" s="10">
        <f>5+3</f>
        <v>8</v>
      </c>
      <c r="G9" s="11" t="s">
        <v>133</v>
      </c>
      <c r="H9" s="12">
        <v>2</v>
      </c>
      <c r="I9" s="9" t="s">
        <v>134</v>
      </c>
      <c r="J9" s="10">
        <f>6+6+5+6</f>
        <v>23</v>
      </c>
      <c r="K9" s="11"/>
      <c r="L9" s="12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2"/>
      <c r="Y9" s="53">
        <f t="shared" si="0"/>
        <v>33</v>
      </c>
    </row>
    <row r="10" spans="1:25" x14ac:dyDescent="0.25">
      <c r="A10" s="6">
        <v>166</v>
      </c>
      <c r="B10" s="7" t="s">
        <v>1106</v>
      </c>
      <c r="C10" s="7" t="s">
        <v>1095</v>
      </c>
      <c r="D10" s="20">
        <v>2002</v>
      </c>
      <c r="E10" s="9" t="s">
        <v>1099</v>
      </c>
      <c r="F10" s="10">
        <f>5+4</f>
        <v>9</v>
      </c>
      <c r="G10" s="11" t="s">
        <v>575</v>
      </c>
      <c r="H10" s="12"/>
      <c r="I10" s="9" t="s">
        <v>1107</v>
      </c>
      <c r="J10" s="10"/>
      <c r="K10" s="11" t="s">
        <v>1108</v>
      </c>
      <c r="L10" s="12">
        <f>8+7</f>
        <v>15</v>
      </c>
      <c r="M10" s="9" t="s">
        <v>1109</v>
      </c>
      <c r="N10" s="10">
        <f>5+7+3</f>
        <v>15</v>
      </c>
      <c r="O10" s="9" t="s">
        <v>1110</v>
      </c>
      <c r="P10" s="10"/>
      <c r="Q10" s="9" t="s">
        <v>1111</v>
      </c>
      <c r="R10" s="10">
        <v>6</v>
      </c>
      <c r="S10" s="9" t="s">
        <v>1112</v>
      </c>
      <c r="T10" s="10"/>
      <c r="U10" s="9" t="s">
        <v>1113</v>
      </c>
      <c r="V10" s="10">
        <f>4+5</f>
        <v>9</v>
      </c>
      <c r="W10" s="9" t="s">
        <v>1114</v>
      </c>
      <c r="X10" s="12"/>
      <c r="Y10" s="53">
        <f t="shared" si="0"/>
        <v>54</v>
      </c>
    </row>
    <row r="11" spans="1:25" x14ac:dyDescent="0.25">
      <c r="A11" s="6">
        <v>179</v>
      </c>
      <c r="B11" s="7" t="s">
        <v>260</v>
      </c>
      <c r="C11" s="7" t="s">
        <v>627</v>
      </c>
      <c r="D11" s="20">
        <v>2004</v>
      </c>
      <c r="E11" s="9" t="s">
        <v>141</v>
      </c>
      <c r="F11" s="10">
        <f>4+4</f>
        <v>8</v>
      </c>
      <c r="G11" s="11"/>
      <c r="H11" s="12"/>
      <c r="I11" s="9"/>
      <c r="J11" s="10"/>
      <c r="K11" s="11"/>
      <c r="L11" s="12"/>
      <c r="M11" s="9"/>
      <c r="N11" s="10"/>
      <c r="O11" s="9"/>
      <c r="P11" s="10"/>
      <c r="Q11" s="9"/>
      <c r="R11" s="10"/>
      <c r="S11" s="9"/>
      <c r="T11" s="10"/>
      <c r="U11" s="9"/>
      <c r="V11" s="10"/>
      <c r="W11" s="9"/>
      <c r="X11" s="12"/>
      <c r="Y11" s="53">
        <f t="shared" si="0"/>
        <v>8</v>
      </c>
    </row>
    <row r="12" spans="1:25" x14ac:dyDescent="0.25">
      <c r="A12" s="6">
        <v>180</v>
      </c>
      <c r="B12" s="7" t="s">
        <v>628</v>
      </c>
      <c r="C12" s="7" t="s">
        <v>629</v>
      </c>
      <c r="D12" s="20">
        <v>2001</v>
      </c>
      <c r="E12" s="9" t="s">
        <v>630</v>
      </c>
      <c r="F12" s="10">
        <f>4+6+4</f>
        <v>14</v>
      </c>
      <c r="G12" s="11"/>
      <c r="H12" s="12"/>
      <c r="I12" s="9"/>
      <c r="J12" s="10"/>
      <c r="K12" s="11"/>
      <c r="L12" s="12"/>
      <c r="M12" s="9"/>
      <c r="N12" s="10"/>
      <c r="O12" s="9"/>
      <c r="P12" s="10"/>
      <c r="Q12" s="9"/>
      <c r="R12" s="10"/>
      <c r="S12" s="9"/>
      <c r="T12" s="10"/>
      <c r="U12" s="9"/>
      <c r="V12" s="10"/>
      <c r="W12" s="9"/>
      <c r="X12" s="12"/>
      <c r="Y12" s="53">
        <f t="shared" si="0"/>
        <v>14</v>
      </c>
    </row>
    <row r="13" spans="1:25" x14ac:dyDescent="0.25">
      <c r="A13" s="6">
        <v>181</v>
      </c>
      <c r="B13" s="7" t="s">
        <v>567</v>
      </c>
      <c r="C13" s="7" t="s">
        <v>631</v>
      </c>
      <c r="D13" s="20">
        <v>2001</v>
      </c>
      <c r="E13" s="9" t="s">
        <v>257</v>
      </c>
      <c r="F13" s="10">
        <f>3+5+2</f>
        <v>10</v>
      </c>
      <c r="G13" s="11"/>
      <c r="H13" s="12"/>
      <c r="I13" s="9"/>
      <c r="J13" s="10"/>
      <c r="K13" s="11"/>
      <c r="L13" s="12"/>
      <c r="M13" s="9"/>
      <c r="N13" s="10"/>
      <c r="O13" s="9"/>
      <c r="P13" s="10"/>
      <c r="Q13" s="9"/>
      <c r="R13" s="10"/>
      <c r="S13" s="9"/>
      <c r="T13" s="10"/>
      <c r="U13" s="9"/>
      <c r="V13" s="10"/>
      <c r="W13" s="9"/>
      <c r="X13" s="12"/>
      <c r="Y13" s="53">
        <f t="shared" si="0"/>
        <v>10</v>
      </c>
    </row>
    <row r="14" spans="1:25" x14ac:dyDescent="0.25">
      <c r="A14" s="6">
        <v>182</v>
      </c>
      <c r="B14" s="7" t="s">
        <v>129</v>
      </c>
      <c r="C14" s="7" t="s">
        <v>632</v>
      </c>
      <c r="D14" s="20">
        <v>2000</v>
      </c>
      <c r="E14" s="9" t="s">
        <v>633</v>
      </c>
      <c r="F14" s="10">
        <f>5+4+3</f>
        <v>12</v>
      </c>
      <c r="G14" s="11"/>
      <c r="H14" s="12"/>
      <c r="I14" s="9"/>
      <c r="J14" s="10"/>
      <c r="K14" s="11"/>
      <c r="L14" s="12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2"/>
      <c r="Y14" s="53">
        <f t="shared" si="0"/>
        <v>12</v>
      </c>
    </row>
    <row r="15" spans="1:25" x14ac:dyDescent="0.25">
      <c r="A15" s="6">
        <v>183</v>
      </c>
      <c r="B15" s="7" t="s">
        <v>45</v>
      </c>
      <c r="C15" s="7" t="s">
        <v>634</v>
      </c>
      <c r="D15" s="20">
        <v>2002</v>
      </c>
      <c r="E15" s="9" t="s">
        <v>81</v>
      </c>
      <c r="F15" s="10">
        <f>6+3+6+6</f>
        <v>21</v>
      </c>
      <c r="G15" s="11"/>
      <c r="H15" s="12"/>
      <c r="I15" s="9"/>
      <c r="J15" s="10"/>
      <c r="K15" s="11"/>
      <c r="L15" s="12"/>
      <c r="M15" s="9"/>
      <c r="N15" s="10"/>
      <c r="O15" s="9"/>
      <c r="P15" s="10"/>
      <c r="Q15" s="9"/>
      <c r="R15" s="10"/>
      <c r="S15" s="9"/>
      <c r="T15" s="10"/>
      <c r="U15" s="9"/>
      <c r="V15" s="10"/>
      <c r="W15" s="9"/>
      <c r="X15" s="12"/>
      <c r="Y15" s="53">
        <f t="shared" si="0"/>
        <v>21</v>
      </c>
    </row>
    <row r="16" spans="1:25" x14ac:dyDescent="0.25">
      <c r="A16" s="6">
        <v>184</v>
      </c>
      <c r="B16" s="7" t="s">
        <v>219</v>
      </c>
      <c r="C16" s="7" t="s">
        <v>310</v>
      </c>
      <c r="D16" s="20">
        <v>2002</v>
      </c>
      <c r="E16" s="9" t="s">
        <v>617</v>
      </c>
      <c r="F16" s="10">
        <f>6+6+7+4</f>
        <v>23</v>
      </c>
      <c r="G16" s="11"/>
      <c r="H16" s="12"/>
      <c r="I16" s="9"/>
      <c r="J16" s="10"/>
      <c r="K16" s="11"/>
      <c r="L16" s="12"/>
      <c r="M16" s="9"/>
      <c r="N16" s="10"/>
      <c r="O16" s="9"/>
      <c r="P16" s="10"/>
      <c r="Q16" s="9"/>
      <c r="R16" s="10"/>
      <c r="S16" s="9"/>
      <c r="T16" s="10"/>
      <c r="U16" s="9"/>
      <c r="V16" s="10"/>
      <c r="W16" s="9"/>
      <c r="X16" s="12"/>
      <c r="Y16" s="53">
        <f t="shared" si="0"/>
        <v>23</v>
      </c>
    </row>
    <row r="17" spans="1:25" x14ac:dyDescent="0.25">
      <c r="A17" s="6">
        <v>185</v>
      </c>
      <c r="B17" s="7" t="s">
        <v>465</v>
      </c>
      <c r="C17" s="7" t="s">
        <v>635</v>
      </c>
      <c r="D17" s="20">
        <v>2000</v>
      </c>
      <c r="E17" s="9" t="s">
        <v>636</v>
      </c>
      <c r="F17" s="10">
        <f>3+3+2</f>
        <v>8</v>
      </c>
      <c r="G17" s="11"/>
      <c r="H17" s="12"/>
      <c r="I17" s="9"/>
      <c r="J17" s="10"/>
      <c r="K17" s="11"/>
      <c r="L17" s="12"/>
      <c r="M17" s="9"/>
      <c r="N17" s="10"/>
      <c r="O17" s="9"/>
      <c r="P17" s="10"/>
      <c r="Q17" s="9"/>
      <c r="R17" s="10"/>
      <c r="S17" s="9"/>
      <c r="T17" s="10"/>
      <c r="U17" s="9"/>
      <c r="V17" s="10"/>
      <c r="W17" s="9"/>
      <c r="X17" s="12"/>
      <c r="Y17" s="53">
        <f t="shared" si="0"/>
        <v>8</v>
      </c>
    </row>
    <row r="18" spans="1:25" x14ac:dyDescent="0.25">
      <c r="A18" s="6">
        <v>208</v>
      </c>
      <c r="B18" s="7" t="s">
        <v>197</v>
      </c>
      <c r="C18" s="7" t="s">
        <v>198</v>
      </c>
      <c r="D18" s="20">
        <v>2000</v>
      </c>
      <c r="E18" s="9" t="s">
        <v>199</v>
      </c>
      <c r="F18" s="10">
        <f>3+2+4+3</f>
        <v>12</v>
      </c>
      <c r="G18" s="11"/>
      <c r="H18" s="12"/>
      <c r="I18" s="9"/>
      <c r="J18" s="10"/>
      <c r="K18" s="11"/>
      <c r="L18" s="12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2"/>
      <c r="Y18" s="53">
        <f t="shared" si="0"/>
        <v>12</v>
      </c>
    </row>
    <row r="19" spans="1:25" x14ac:dyDescent="0.25">
      <c r="A19" s="6">
        <v>209</v>
      </c>
      <c r="B19" s="7" t="s">
        <v>106</v>
      </c>
      <c r="C19" s="7" t="s">
        <v>107</v>
      </c>
      <c r="D19" s="20">
        <v>2000</v>
      </c>
      <c r="E19" s="9" t="s">
        <v>108</v>
      </c>
      <c r="F19" s="10">
        <f>5+4+2+5+3</f>
        <v>19</v>
      </c>
      <c r="G19" s="11"/>
      <c r="H19" s="12"/>
      <c r="I19" s="9"/>
      <c r="J19" s="10"/>
      <c r="K19" s="11"/>
      <c r="L19" s="12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2"/>
      <c r="Y19" s="53">
        <f t="shared" si="0"/>
        <v>19</v>
      </c>
    </row>
    <row r="20" spans="1:25" x14ac:dyDescent="0.25">
      <c r="A20" s="6">
        <v>210</v>
      </c>
      <c r="B20" s="7" t="s">
        <v>213</v>
      </c>
      <c r="C20" s="7" t="s">
        <v>214</v>
      </c>
      <c r="D20" s="20">
        <v>2001</v>
      </c>
      <c r="E20" s="9" t="s">
        <v>443</v>
      </c>
      <c r="F20" s="10">
        <f>5+2</f>
        <v>7</v>
      </c>
      <c r="G20" s="11"/>
      <c r="H20" s="12"/>
      <c r="I20" s="9"/>
      <c r="J20" s="10"/>
      <c r="K20" s="11"/>
      <c r="L20" s="12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2"/>
      <c r="Y20" s="53">
        <f t="shared" si="0"/>
        <v>7</v>
      </c>
    </row>
    <row r="21" spans="1:25" x14ac:dyDescent="0.25">
      <c r="A21" s="6">
        <v>212</v>
      </c>
      <c r="B21" s="7" t="s">
        <v>551</v>
      </c>
      <c r="C21" s="7" t="s">
        <v>433</v>
      </c>
      <c r="D21" s="20">
        <v>2000</v>
      </c>
      <c r="E21" s="9" t="s">
        <v>552</v>
      </c>
      <c r="F21" s="10">
        <f>6+2+6+3</f>
        <v>17</v>
      </c>
      <c r="G21" s="11"/>
      <c r="H21" s="12"/>
      <c r="I21" s="9"/>
      <c r="J21" s="10"/>
      <c r="K21" s="11"/>
      <c r="L21" s="12"/>
      <c r="M21" s="9"/>
      <c r="N21" s="10"/>
      <c r="O21" s="9"/>
      <c r="P21" s="10"/>
      <c r="Q21" s="9"/>
      <c r="R21" s="10"/>
      <c r="S21" s="9"/>
      <c r="T21" s="10"/>
      <c r="U21" s="9"/>
      <c r="V21" s="10"/>
      <c r="W21" s="9"/>
      <c r="X21" s="12"/>
      <c r="Y21" s="53">
        <f t="shared" si="0"/>
        <v>17</v>
      </c>
    </row>
    <row r="22" spans="1:25" x14ac:dyDescent="0.25">
      <c r="A22" s="6">
        <v>213</v>
      </c>
      <c r="B22" s="7" t="s">
        <v>553</v>
      </c>
      <c r="C22" s="7" t="s">
        <v>554</v>
      </c>
      <c r="D22" s="20">
        <v>2000</v>
      </c>
      <c r="E22" s="9" t="s">
        <v>555</v>
      </c>
      <c r="F22" s="10">
        <f>3+2</f>
        <v>5</v>
      </c>
      <c r="G22" s="11"/>
      <c r="H22" s="12"/>
      <c r="I22" s="9"/>
      <c r="J22" s="10"/>
      <c r="K22" s="11"/>
      <c r="L22" s="12"/>
      <c r="M22" s="9"/>
      <c r="N22" s="10"/>
      <c r="O22" s="9"/>
      <c r="P22" s="10"/>
      <c r="Q22" s="9"/>
      <c r="R22" s="10"/>
      <c r="S22" s="9"/>
      <c r="T22" s="10"/>
      <c r="U22" s="9"/>
      <c r="V22" s="10"/>
      <c r="W22" s="9"/>
      <c r="X22" s="12"/>
      <c r="Y22" s="53">
        <f t="shared" si="0"/>
        <v>5</v>
      </c>
    </row>
    <row r="23" spans="1:25" x14ac:dyDescent="0.25">
      <c r="A23" s="6">
        <v>263</v>
      </c>
      <c r="B23" s="7" t="s">
        <v>1181</v>
      </c>
      <c r="C23" s="7" t="s">
        <v>1182</v>
      </c>
      <c r="D23" s="20">
        <v>2006</v>
      </c>
      <c r="E23" s="9" t="s">
        <v>1183</v>
      </c>
      <c r="F23" s="10">
        <f>7+7+7+6+6</f>
        <v>33</v>
      </c>
      <c r="G23" s="11" t="s">
        <v>346</v>
      </c>
      <c r="H23" s="12">
        <f>6+8+6+7+9</f>
        <v>36</v>
      </c>
      <c r="I23" s="9" t="s">
        <v>1486</v>
      </c>
      <c r="J23" s="10">
        <v>7</v>
      </c>
      <c r="K23" s="11" t="s">
        <v>746</v>
      </c>
      <c r="L23" s="12">
        <v>7</v>
      </c>
      <c r="M23" s="9" t="s">
        <v>1487</v>
      </c>
      <c r="N23" s="10">
        <f>6+6</f>
        <v>12</v>
      </c>
      <c r="O23" s="9" t="s">
        <v>1488</v>
      </c>
      <c r="P23" s="10">
        <v>5</v>
      </c>
      <c r="Q23" s="9" t="s">
        <v>1489</v>
      </c>
      <c r="R23" s="10">
        <f>7+7+7+5+8</f>
        <v>34</v>
      </c>
      <c r="S23" s="9" t="s">
        <v>181</v>
      </c>
      <c r="T23" s="10"/>
      <c r="U23" s="9" t="s">
        <v>1444</v>
      </c>
      <c r="V23" s="10"/>
      <c r="W23" s="9"/>
      <c r="X23" s="12"/>
      <c r="Y23" s="53">
        <f t="shared" si="0"/>
        <v>134</v>
      </c>
    </row>
    <row r="24" spans="1:25" x14ac:dyDescent="0.25">
      <c r="A24" s="6">
        <v>265</v>
      </c>
      <c r="B24" s="7" t="s">
        <v>567</v>
      </c>
      <c r="C24" s="7" t="s">
        <v>1004</v>
      </c>
      <c r="D24" s="20">
        <v>2008</v>
      </c>
      <c r="E24" s="9" t="s">
        <v>1165</v>
      </c>
      <c r="F24" s="10">
        <v>5</v>
      </c>
      <c r="G24" s="11" t="s">
        <v>1166</v>
      </c>
      <c r="H24" s="12"/>
      <c r="I24" s="9" t="s">
        <v>1167</v>
      </c>
      <c r="J24" s="10">
        <f>7+5+6</f>
        <v>18</v>
      </c>
      <c r="K24" s="11" t="s">
        <v>315</v>
      </c>
      <c r="L24" s="12"/>
      <c r="M24" s="9" t="s">
        <v>1168</v>
      </c>
      <c r="N24" s="10">
        <f>5+6+7</f>
        <v>18</v>
      </c>
      <c r="O24" s="9" t="s">
        <v>1169</v>
      </c>
      <c r="P24" s="10">
        <v>5</v>
      </c>
      <c r="Q24" s="9" t="s">
        <v>615</v>
      </c>
      <c r="R24" s="10"/>
      <c r="S24" s="9"/>
      <c r="T24" s="10"/>
      <c r="U24" s="9"/>
      <c r="V24" s="10"/>
      <c r="W24" s="9"/>
      <c r="X24" s="12"/>
      <c r="Y24" s="53">
        <f t="shared" si="0"/>
        <v>46</v>
      </c>
    </row>
    <row r="25" spans="1:25" x14ac:dyDescent="0.25">
      <c r="A25" s="6">
        <v>280</v>
      </c>
      <c r="B25" s="7" t="s">
        <v>917</v>
      </c>
      <c r="C25" s="7" t="s">
        <v>918</v>
      </c>
      <c r="D25" s="20">
        <v>1999</v>
      </c>
      <c r="E25" s="9" t="s">
        <v>919</v>
      </c>
      <c r="F25" s="10">
        <f>8+9+8+4+6</f>
        <v>35</v>
      </c>
      <c r="G25" s="11" t="s">
        <v>920</v>
      </c>
      <c r="H25" s="12">
        <f>8+7+9+8+6+9</f>
        <v>47</v>
      </c>
      <c r="I25" s="9" t="s">
        <v>348</v>
      </c>
      <c r="J25" s="10"/>
      <c r="K25" s="11" t="s">
        <v>921</v>
      </c>
      <c r="L25" s="12">
        <v>7</v>
      </c>
      <c r="M25" s="9" t="s">
        <v>922</v>
      </c>
      <c r="N25" s="10">
        <v>5</v>
      </c>
      <c r="O25" s="9" t="s">
        <v>923</v>
      </c>
      <c r="P25" s="10"/>
      <c r="Q25" s="9" t="s">
        <v>924</v>
      </c>
      <c r="R25" s="10"/>
      <c r="S25" s="9" t="s">
        <v>925</v>
      </c>
      <c r="T25" s="10"/>
      <c r="U25" s="9" t="s">
        <v>926</v>
      </c>
      <c r="V25" s="10"/>
      <c r="W25" s="9" t="s">
        <v>927</v>
      </c>
      <c r="X25" s="12">
        <f>8+7</f>
        <v>15</v>
      </c>
      <c r="Y25" s="53">
        <f t="shared" si="0"/>
        <v>109</v>
      </c>
    </row>
    <row r="26" spans="1:25" x14ac:dyDescent="0.25">
      <c r="A26" s="6">
        <v>287</v>
      </c>
      <c r="B26" s="7" t="s">
        <v>131</v>
      </c>
      <c r="C26" s="7" t="s">
        <v>1081</v>
      </c>
      <c r="D26" s="20">
        <v>2002</v>
      </c>
      <c r="E26" s="9" t="s">
        <v>215</v>
      </c>
      <c r="F26" s="10">
        <f>3+2+5+1</f>
        <v>11</v>
      </c>
      <c r="G26" s="11"/>
      <c r="H26" s="12"/>
      <c r="I26" s="9"/>
      <c r="J26" s="10"/>
      <c r="K26" s="11"/>
      <c r="L26" s="12"/>
      <c r="M26" s="9"/>
      <c r="N26" s="10"/>
      <c r="O26" s="9"/>
      <c r="P26" s="10"/>
      <c r="Q26" s="9"/>
      <c r="R26" s="10"/>
      <c r="S26" s="9"/>
      <c r="T26" s="10"/>
      <c r="U26" s="9"/>
      <c r="V26" s="10"/>
      <c r="W26" s="9"/>
      <c r="X26" s="12"/>
      <c r="Y26" s="53">
        <f t="shared" si="0"/>
        <v>11</v>
      </c>
    </row>
    <row r="27" spans="1:25" x14ac:dyDescent="0.25">
      <c r="A27" s="6">
        <v>288</v>
      </c>
      <c r="B27" s="7" t="s">
        <v>109</v>
      </c>
      <c r="C27" s="7" t="s">
        <v>1080</v>
      </c>
      <c r="D27" s="20">
        <v>2002</v>
      </c>
      <c r="E27" s="9" t="s">
        <v>215</v>
      </c>
      <c r="F27" s="10">
        <f>3+5+2</f>
        <v>10</v>
      </c>
      <c r="G27" s="11"/>
      <c r="H27" s="12"/>
      <c r="I27" s="9"/>
      <c r="J27" s="10"/>
      <c r="K27" s="11"/>
      <c r="L27" s="12"/>
      <c r="M27" s="9"/>
      <c r="N27" s="10"/>
      <c r="O27" s="9"/>
      <c r="P27" s="10"/>
      <c r="Q27" s="9"/>
      <c r="R27" s="10"/>
      <c r="S27" s="9"/>
      <c r="T27" s="10"/>
      <c r="U27" s="9"/>
      <c r="V27" s="10"/>
      <c r="W27" s="9"/>
      <c r="X27" s="12"/>
      <c r="Y27" s="53">
        <f t="shared" si="0"/>
        <v>10</v>
      </c>
    </row>
    <row r="28" spans="1:25" x14ac:dyDescent="0.25">
      <c r="A28" s="6">
        <v>292</v>
      </c>
      <c r="B28" s="7" t="s">
        <v>392</v>
      </c>
      <c r="C28" s="7" t="s">
        <v>393</v>
      </c>
      <c r="D28" s="20">
        <v>2000</v>
      </c>
      <c r="E28" s="9" t="s">
        <v>403</v>
      </c>
      <c r="F28" s="10">
        <f>1+2</f>
        <v>3</v>
      </c>
      <c r="G28" s="11"/>
      <c r="H28" s="12"/>
      <c r="I28" s="9"/>
      <c r="J28" s="10"/>
      <c r="K28" s="11"/>
      <c r="L28" s="12"/>
      <c r="M28" s="9"/>
      <c r="N28" s="10"/>
      <c r="O28" s="9"/>
      <c r="P28" s="10"/>
      <c r="Q28" s="9"/>
      <c r="R28" s="10"/>
      <c r="S28" s="9"/>
      <c r="T28" s="10"/>
      <c r="U28" s="9"/>
      <c r="V28" s="10"/>
      <c r="W28" s="9"/>
      <c r="X28" s="12"/>
      <c r="Y28" s="53">
        <f t="shared" si="0"/>
        <v>3</v>
      </c>
    </row>
    <row r="29" spans="1:25" x14ac:dyDescent="0.25">
      <c r="A29" s="6">
        <v>294</v>
      </c>
      <c r="B29" s="7" t="s">
        <v>219</v>
      </c>
      <c r="C29" s="7" t="s">
        <v>407</v>
      </c>
      <c r="D29" s="20">
        <v>2001</v>
      </c>
      <c r="E29" s="9" t="s">
        <v>408</v>
      </c>
      <c r="F29" s="10">
        <f>3+1</f>
        <v>4</v>
      </c>
      <c r="G29" s="11"/>
      <c r="H29" s="12"/>
      <c r="I29" s="9"/>
      <c r="J29" s="10"/>
      <c r="K29" s="11"/>
      <c r="L29" s="12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2"/>
      <c r="Y29" s="53">
        <f t="shared" si="0"/>
        <v>4</v>
      </c>
    </row>
    <row r="30" spans="1:25" x14ac:dyDescent="0.25">
      <c r="A30" s="6">
        <v>297</v>
      </c>
      <c r="B30" s="7" t="s">
        <v>404</v>
      </c>
      <c r="C30" s="7" t="s">
        <v>405</v>
      </c>
      <c r="D30" s="20">
        <v>2000</v>
      </c>
      <c r="E30" s="9" t="s">
        <v>406</v>
      </c>
      <c r="F30" s="10">
        <f>3+2</f>
        <v>5</v>
      </c>
      <c r="G30" s="11"/>
      <c r="H30" s="12"/>
      <c r="I30" s="9"/>
      <c r="J30" s="10"/>
      <c r="K30" s="11"/>
      <c r="L30" s="12"/>
      <c r="M30" s="9"/>
      <c r="N30" s="10"/>
      <c r="O30" s="9"/>
      <c r="P30" s="10"/>
      <c r="Q30" s="9"/>
      <c r="R30" s="10"/>
      <c r="S30" s="9"/>
      <c r="T30" s="10"/>
      <c r="U30" s="9"/>
      <c r="V30" s="10"/>
      <c r="W30" s="9"/>
      <c r="X30" s="12"/>
      <c r="Y30" s="53">
        <f t="shared" si="0"/>
        <v>5</v>
      </c>
    </row>
    <row r="31" spans="1:25" x14ac:dyDescent="0.25">
      <c r="A31" s="6">
        <v>298</v>
      </c>
      <c r="B31" s="7" t="s">
        <v>411</v>
      </c>
      <c r="C31" s="7" t="s">
        <v>412</v>
      </c>
      <c r="D31" s="20">
        <v>1999</v>
      </c>
      <c r="E31" s="9" t="s">
        <v>413</v>
      </c>
      <c r="F31" s="10">
        <f>4+3+2</f>
        <v>9</v>
      </c>
      <c r="G31" s="11"/>
      <c r="H31" s="12"/>
      <c r="I31" s="9"/>
      <c r="J31" s="10"/>
      <c r="K31" s="11"/>
      <c r="L31" s="12"/>
      <c r="M31" s="9"/>
      <c r="N31" s="10"/>
      <c r="O31" s="9"/>
      <c r="P31" s="10"/>
      <c r="Q31" s="9"/>
      <c r="R31" s="10"/>
      <c r="S31" s="9"/>
      <c r="T31" s="10"/>
      <c r="U31" s="9"/>
      <c r="V31" s="10"/>
      <c r="W31" s="9"/>
      <c r="X31" s="12"/>
      <c r="Y31" s="53">
        <f t="shared" si="0"/>
        <v>9</v>
      </c>
    </row>
    <row r="32" spans="1:25" x14ac:dyDescent="0.25">
      <c r="A32" s="6">
        <v>300</v>
      </c>
      <c r="B32" s="7" t="s">
        <v>1082</v>
      </c>
      <c r="C32" s="7" t="s">
        <v>1083</v>
      </c>
      <c r="D32" s="20">
        <v>2002</v>
      </c>
      <c r="E32" s="9" t="s">
        <v>215</v>
      </c>
      <c r="F32" s="10">
        <f>4+8+4</f>
        <v>16</v>
      </c>
      <c r="G32" s="11"/>
      <c r="H32" s="12"/>
      <c r="I32" s="9"/>
      <c r="J32" s="10"/>
      <c r="K32" s="11"/>
      <c r="L32" s="12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2"/>
      <c r="Y32" s="53">
        <f t="shared" si="0"/>
        <v>16</v>
      </c>
    </row>
    <row r="33" spans="1:25" x14ac:dyDescent="0.25">
      <c r="A33" s="6">
        <v>302</v>
      </c>
      <c r="B33" s="7" t="s">
        <v>197</v>
      </c>
      <c r="C33" s="7" t="s">
        <v>1086</v>
      </c>
      <c r="D33" s="20">
        <v>2002</v>
      </c>
      <c r="E33" s="9" t="s">
        <v>215</v>
      </c>
      <c r="F33" s="10">
        <f>5+4+5+3</f>
        <v>17</v>
      </c>
      <c r="G33" s="11"/>
      <c r="H33" s="12"/>
      <c r="I33" s="9"/>
      <c r="J33" s="10"/>
      <c r="K33" s="11"/>
      <c r="L33" s="12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2"/>
      <c r="Y33" s="53">
        <f t="shared" si="0"/>
        <v>17</v>
      </c>
    </row>
    <row r="34" spans="1:25" x14ac:dyDescent="0.25">
      <c r="A34" s="6">
        <v>303</v>
      </c>
      <c r="B34" s="7" t="s">
        <v>1042</v>
      </c>
      <c r="C34" s="7" t="s">
        <v>1085</v>
      </c>
      <c r="D34" s="20">
        <v>2001</v>
      </c>
      <c r="E34" s="9" t="s">
        <v>215</v>
      </c>
      <c r="F34" s="10">
        <f>5+3</f>
        <v>8</v>
      </c>
      <c r="G34" s="11"/>
      <c r="H34" s="12"/>
      <c r="I34" s="9"/>
      <c r="J34" s="10"/>
      <c r="K34" s="11"/>
      <c r="L34" s="12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2"/>
      <c r="Y34" s="53">
        <f t="shared" si="0"/>
        <v>8</v>
      </c>
    </row>
    <row r="35" spans="1:25" x14ac:dyDescent="0.25">
      <c r="A35" s="6">
        <v>304</v>
      </c>
      <c r="B35" s="7" t="s">
        <v>1088</v>
      </c>
      <c r="C35" s="7" t="s">
        <v>1087</v>
      </c>
      <c r="D35" s="20">
        <v>2001</v>
      </c>
      <c r="E35" s="9" t="s">
        <v>215</v>
      </c>
      <c r="F35" s="10">
        <f>4+3+2</f>
        <v>9</v>
      </c>
      <c r="G35" s="11"/>
      <c r="H35" s="12"/>
      <c r="I35" s="9"/>
      <c r="J35" s="10"/>
      <c r="K35" s="11"/>
      <c r="L35" s="12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2"/>
      <c r="Y35" s="53">
        <f t="shared" si="0"/>
        <v>9</v>
      </c>
    </row>
    <row r="36" spans="1:25" x14ac:dyDescent="0.25">
      <c r="A36" s="6">
        <v>305</v>
      </c>
      <c r="B36" s="7" t="s">
        <v>280</v>
      </c>
      <c r="C36" s="7" t="s">
        <v>1045</v>
      </c>
      <c r="D36" s="20">
        <v>2002</v>
      </c>
      <c r="E36" s="9" t="s">
        <v>215</v>
      </c>
      <c r="F36" s="10">
        <f>4+2</f>
        <v>6</v>
      </c>
      <c r="G36" s="11"/>
      <c r="H36" s="12"/>
      <c r="I36" s="9"/>
      <c r="J36" s="10"/>
      <c r="K36" s="11"/>
      <c r="L36" s="12"/>
      <c r="M36" s="9"/>
      <c r="N36" s="10"/>
      <c r="O36" s="9"/>
      <c r="P36" s="10"/>
      <c r="Q36" s="9"/>
      <c r="R36" s="10"/>
      <c r="S36" s="9"/>
      <c r="T36" s="10"/>
      <c r="U36" s="9"/>
      <c r="V36" s="10"/>
      <c r="W36" s="9"/>
      <c r="X36" s="12"/>
      <c r="Y36" s="53">
        <f t="shared" ref="Y36:Y67" si="1">F36+H36+J36+L36+N36+P36+R36+T36+V36+X36</f>
        <v>6</v>
      </c>
    </row>
    <row r="37" spans="1:25" x14ac:dyDescent="0.25">
      <c r="A37" s="6">
        <v>306</v>
      </c>
      <c r="B37" s="7" t="s">
        <v>1046</v>
      </c>
      <c r="C37" s="7" t="s">
        <v>1047</v>
      </c>
      <c r="D37" s="20">
        <v>2001</v>
      </c>
      <c r="E37" s="9" t="s">
        <v>215</v>
      </c>
      <c r="F37" s="10">
        <f>5+5+2+6+3</f>
        <v>21</v>
      </c>
      <c r="G37" s="11"/>
      <c r="H37" s="12"/>
      <c r="I37" s="9"/>
      <c r="J37" s="10"/>
      <c r="K37" s="11"/>
      <c r="L37" s="12"/>
      <c r="M37" s="9"/>
      <c r="N37" s="10"/>
      <c r="O37" s="9"/>
      <c r="P37" s="10"/>
      <c r="Q37" s="9"/>
      <c r="R37" s="10"/>
      <c r="S37" s="9"/>
      <c r="T37" s="10"/>
      <c r="U37" s="9"/>
      <c r="V37" s="10"/>
      <c r="W37" s="9"/>
      <c r="X37" s="12"/>
      <c r="Y37" s="53">
        <f t="shared" si="1"/>
        <v>21</v>
      </c>
    </row>
    <row r="38" spans="1:25" x14ac:dyDescent="0.25">
      <c r="A38" s="6">
        <v>307</v>
      </c>
      <c r="B38" s="7" t="s">
        <v>586</v>
      </c>
      <c r="C38" s="7" t="s">
        <v>266</v>
      </c>
      <c r="D38" s="20">
        <v>1999</v>
      </c>
      <c r="E38" s="9" t="s">
        <v>587</v>
      </c>
      <c r="F38" s="10">
        <f>4+8+3</f>
        <v>15</v>
      </c>
      <c r="G38" s="11"/>
      <c r="H38" s="12"/>
      <c r="I38" s="9"/>
      <c r="J38" s="10"/>
      <c r="K38" s="11"/>
      <c r="L38" s="12"/>
      <c r="M38" s="9"/>
      <c r="N38" s="10"/>
      <c r="O38" s="9"/>
      <c r="P38" s="10"/>
      <c r="Q38" s="9"/>
      <c r="R38" s="10"/>
      <c r="S38" s="9"/>
      <c r="T38" s="10"/>
      <c r="U38" s="9"/>
      <c r="V38" s="10"/>
      <c r="W38" s="9"/>
      <c r="X38" s="12"/>
      <c r="Y38" s="53">
        <f t="shared" si="1"/>
        <v>15</v>
      </c>
    </row>
    <row r="39" spans="1:25" x14ac:dyDescent="0.25">
      <c r="A39" s="6">
        <v>308</v>
      </c>
      <c r="B39" s="7" t="s">
        <v>591</v>
      </c>
      <c r="C39" s="7" t="s">
        <v>592</v>
      </c>
      <c r="D39" s="20">
        <v>2001</v>
      </c>
      <c r="E39" s="9" t="s">
        <v>593</v>
      </c>
      <c r="F39" s="10">
        <f>5+4+3</f>
        <v>12</v>
      </c>
      <c r="G39" s="11"/>
      <c r="H39" s="12"/>
      <c r="I39" s="9"/>
      <c r="J39" s="10"/>
      <c r="K39" s="11"/>
      <c r="L39" s="12"/>
      <c r="M39" s="9"/>
      <c r="N39" s="10"/>
      <c r="O39" s="9"/>
      <c r="P39" s="10"/>
      <c r="Q39" s="9"/>
      <c r="R39" s="10"/>
      <c r="S39" s="9"/>
      <c r="T39" s="10"/>
      <c r="U39" s="9"/>
      <c r="V39" s="10"/>
      <c r="W39" s="9"/>
      <c r="X39" s="12"/>
      <c r="Y39" s="53">
        <f t="shared" si="1"/>
        <v>12</v>
      </c>
    </row>
    <row r="40" spans="1:25" x14ac:dyDescent="0.25">
      <c r="A40" s="6">
        <v>309</v>
      </c>
      <c r="B40" s="7" t="s">
        <v>204</v>
      </c>
      <c r="C40" s="7" t="s">
        <v>594</v>
      </c>
      <c r="D40" s="20">
        <v>2001</v>
      </c>
      <c r="E40" s="9" t="s">
        <v>595</v>
      </c>
      <c r="F40" s="10">
        <f>3+6+2</f>
        <v>11</v>
      </c>
      <c r="G40" s="11"/>
      <c r="H40" s="12"/>
      <c r="I40" s="9"/>
      <c r="J40" s="10"/>
      <c r="K40" s="11"/>
      <c r="L40" s="12"/>
      <c r="M40" s="9"/>
      <c r="N40" s="10"/>
      <c r="O40" s="9"/>
      <c r="P40" s="10"/>
      <c r="Q40" s="9"/>
      <c r="R40" s="10"/>
      <c r="S40" s="9"/>
      <c r="T40" s="10"/>
      <c r="U40" s="9"/>
      <c r="V40" s="10"/>
      <c r="W40" s="9"/>
      <c r="X40" s="12"/>
      <c r="Y40" s="53">
        <f t="shared" si="1"/>
        <v>11</v>
      </c>
    </row>
    <row r="41" spans="1:25" x14ac:dyDescent="0.25">
      <c r="A41" s="6">
        <v>310</v>
      </c>
      <c r="B41" s="7" t="s">
        <v>74</v>
      </c>
      <c r="C41" s="7" t="s">
        <v>596</v>
      </c>
      <c r="D41" s="20">
        <v>2001</v>
      </c>
      <c r="E41" s="9" t="s">
        <v>597</v>
      </c>
      <c r="F41" s="10">
        <f>6+6+6+7+6</f>
        <v>31</v>
      </c>
      <c r="G41" s="11"/>
      <c r="H41" s="12"/>
      <c r="I41" s="9"/>
      <c r="J41" s="10"/>
      <c r="K41" s="11"/>
      <c r="L41" s="12"/>
      <c r="M41" s="9"/>
      <c r="N41" s="10"/>
      <c r="O41" s="9"/>
      <c r="P41" s="10"/>
      <c r="Q41" s="9"/>
      <c r="R41" s="10"/>
      <c r="S41" s="9"/>
      <c r="T41" s="10"/>
      <c r="U41" s="9"/>
      <c r="V41" s="10"/>
      <c r="W41" s="9"/>
      <c r="X41" s="12"/>
      <c r="Y41" s="53">
        <f t="shared" si="1"/>
        <v>31</v>
      </c>
    </row>
    <row r="42" spans="1:25" x14ac:dyDescent="0.25">
      <c r="A42" s="6">
        <v>311</v>
      </c>
      <c r="B42" s="7" t="s">
        <v>588</v>
      </c>
      <c r="C42" s="7" t="s">
        <v>589</v>
      </c>
      <c r="D42" s="20">
        <v>2001</v>
      </c>
      <c r="E42" s="9" t="s">
        <v>590</v>
      </c>
      <c r="F42" s="10">
        <f>5+6+3+7+4</f>
        <v>25</v>
      </c>
      <c r="G42" s="11"/>
      <c r="H42" s="12"/>
      <c r="I42" s="9"/>
      <c r="J42" s="10"/>
      <c r="K42" s="11"/>
      <c r="L42" s="12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2"/>
      <c r="Y42" s="53">
        <f t="shared" si="1"/>
        <v>25</v>
      </c>
    </row>
    <row r="43" spans="1:25" x14ac:dyDescent="0.25">
      <c r="A43" s="6">
        <v>340</v>
      </c>
      <c r="B43" s="7" t="s">
        <v>175</v>
      </c>
      <c r="C43" s="7" t="s">
        <v>196</v>
      </c>
      <c r="D43" s="20">
        <v>2008</v>
      </c>
      <c r="E43" s="9" t="s">
        <v>179</v>
      </c>
      <c r="F43" s="10">
        <f>5+4</f>
        <v>9</v>
      </c>
      <c r="G43" s="11" t="s">
        <v>180</v>
      </c>
      <c r="H43" s="12">
        <f>5+3+3+4</f>
        <v>15</v>
      </c>
      <c r="I43" s="9" t="s">
        <v>181</v>
      </c>
      <c r="J43" s="10">
        <f>6+5</f>
        <v>11</v>
      </c>
      <c r="K43" s="11"/>
      <c r="L43" s="12"/>
      <c r="M43" s="9"/>
      <c r="N43" s="10"/>
      <c r="O43" s="9"/>
      <c r="P43" s="10"/>
      <c r="Q43" s="9"/>
      <c r="R43" s="10"/>
      <c r="S43" s="9"/>
      <c r="T43" s="10"/>
      <c r="U43" s="9"/>
      <c r="V43" s="10"/>
      <c r="W43" s="9"/>
      <c r="X43" s="12"/>
      <c r="Y43" s="53">
        <f t="shared" si="1"/>
        <v>35</v>
      </c>
    </row>
    <row r="44" spans="1:25" x14ac:dyDescent="0.25">
      <c r="A44" s="6">
        <v>345</v>
      </c>
      <c r="B44" s="7" t="s">
        <v>255</v>
      </c>
      <c r="C44" s="7" t="s">
        <v>256</v>
      </c>
      <c r="D44" s="20">
        <v>2007</v>
      </c>
      <c r="E44" s="9" t="s">
        <v>257</v>
      </c>
      <c r="F44" s="10">
        <f>9+7+4</f>
        <v>20</v>
      </c>
      <c r="G44" s="11" t="s">
        <v>258</v>
      </c>
      <c r="H44" s="12">
        <v>2</v>
      </c>
      <c r="I44" s="9" t="s">
        <v>259</v>
      </c>
      <c r="J44" s="10">
        <f>5+5</f>
        <v>10</v>
      </c>
      <c r="K44" s="11"/>
      <c r="L44" s="12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2"/>
      <c r="Y44" s="53">
        <f t="shared" si="1"/>
        <v>32</v>
      </c>
    </row>
    <row r="45" spans="1:25" x14ac:dyDescent="0.25">
      <c r="A45" s="6">
        <v>371</v>
      </c>
      <c r="B45" s="7" t="s">
        <v>319</v>
      </c>
      <c r="C45" s="7" t="s">
        <v>320</v>
      </c>
      <c r="D45" s="20">
        <v>2009</v>
      </c>
      <c r="E45" s="9" t="s">
        <v>321</v>
      </c>
      <c r="F45" s="10">
        <f>6+6</f>
        <v>12</v>
      </c>
      <c r="G45" s="11"/>
      <c r="H45" s="12"/>
      <c r="I45" s="9"/>
      <c r="J45" s="10"/>
      <c r="K45" s="11"/>
      <c r="L45" s="12"/>
      <c r="M45" s="9"/>
      <c r="N45" s="10"/>
      <c r="O45" s="9"/>
      <c r="P45" s="10"/>
      <c r="Q45" s="9"/>
      <c r="R45" s="10"/>
      <c r="S45" s="9"/>
      <c r="T45" s="10"/>
      <c r="U45" s="9"/>
      <c r="V45" s="10"/>
      <c r="W45" s="9"/>
      <c r="X45" s="12"/>
      <c r="Y45" s="53">
        <f t="shared" si="1"/>
        <v>12</v>
      </c>
    </row>
    <row r="46" spans="1:25" x14ac:dyDescent="0.25">
      <c r="A46" s="6">
        <v>427</v>
      </c>
      <c r="B46" s="7" t="s">
        <v>50</v>
      </c>
      <c r="C46" s="7" t="s">
        <v>206</v>
      </c>
      <c r="D46" s="20">
        <v>2006</v>
      </c>
      <c r="E46" s="9" t="s">
        <v>1209</v>
      </c>
      <c r="F46" s="10">
        <f>6+6+4</f>
        <v>16</v>
      </c>
      <c r="G46" s="11" t="s">
        <v>1210</v>
      </c>
      <c r="H46" s="12">
        <f>5+5+4</f>
        <v>14</v>
      </c>
      <c r="I46" s="9" t="s">
        <v>1211</v>
      </c>
      <c r="J46" s="10">
        <v>7</v>
      </c>
      <c r="K46" s="11" t="s">
        <v>1212</v>
      </c>
      <c r="L46" s="12"/>
      <c r="M46" s="9" t="s">
        <v>1213</v>
      </c>
      <c r="N46" s="10">
        <f>5+4</f>
        <v>9</v>
      </c>
      <c r="O46" s="9"/>
      <c r="P46" s="10"/>
      <c r="Q46" s="9"/>
      <c r="R46" s="10"/>
      <c r="S46" s="9"/>
      <c r="T46" s="10"/>
      <c r="U46" s="9"/>
      <c r="V46" s="10"/>
      <c r="W46" s="9"/>
      <c r="X46" s="12"/>
      <c r="Y46" s="53">
        <f t="shared" si="1"/>
        <v>46</v>
      </c>
    </row>
    <row r="47" spans="1:25" x14ac:dyDescent="0.25">
      <c r="A47" s="6">
        <v>438</v>
      </c>
      <c r="B47" s="7" t="s">
        <v>1535</v>
      </c>
      <c r="C47" s="7" t="s">
        <v>1532</v>
      </c>
      <c r="D47" s="20">
        <v>2009</v>
      </c>
      <c r="E47" s="9" t="s">
        <v>1536</v>
      </c>
      <c r="F47" s="10">
        <f>4+5</f>
        <v>9</v>
      </c>
      <c r="G47" s="11" t="s">
        <v>1537</v>
      </c>
      <c r="H47" s="12"/>
      <c r="I47" s="9" t="s">
        <v>1538</v>
      </c>
      <c r="J47" s="10">
        <f>5+7</f>
        <v>12</v>
      </c>
      <c r="K47" s="11" t="s">
        <v>1539</v>
      </c>
      <c r="L47" s="12">
        <f>6+6</f>
        <v>12</v>
      </c>
      <c r="M47" s="9" t="s">
        <v>1540</v>
      </c>
      <c r="N47" s="10"/>
      <c r="O47" s="9" t="s">
        <v>1541</v>
      </c>
      <c r="P47" s="10"/>
      <c r="Q47" s="9" t="s">
        <v>257</v>
      </c>
      <c r="R47" s="10">
        <v>6</v>
      </c>
      <c r="S47" s="9"/>
      <c r="T47" s="10"/>
      <c r="U47" s="9"/>
      <c r="V47" s="10"/>
      <c r="W47" s="9"/>
      <c r="X47" s="12"/>
      <c r="Y47" s="53">
        <f t="shared" si="1"/>
        <v>39</v>
      </c>
    </row>
    <row r="48" spans="1:25" x14ac:dyDescent="0.25">
      <c r="A48" s="6">
        <v>439</v>
      </c>
      <c r="B48" s="7" t="s">
        <v>404</v>
      </c>
      <c r="C48" s="7" t="s">
        <v>1542</v>
      </c>
      <c r="D48" s="20">
        <v>2011</v>
      </c>
      <c r="E48" s="9" t="s">
        <v>1543</v>
      </c>
      <c r="F48" s="10">
        <f>4+6</f>
        <v>10</v>
      </c>
      <c r="G48" s="11" t="s">
        <v>732</v>
      </c>
      <c r="H48" s="12">
        <v>6</v>
      </c>
      <c r="I48" s="9"/>
      <c r="J48" s="10"/>
      <c r="K48" s="11"/>
      <c r="L48" s="12"/>
      <c r="M48" s="9"/>
      <c r="N48" s="10"/>
      <c r="O48" s="9"/>
      <c r="P48" s="10"/>
      <c r="Q48" s="9"/>
      <c r="R48" s="10"/>
      <c r="S48" s="9"/>
      <c r="T48" s="10"/>
      <c r="U48" s="9"/>
      <c r="V48" s="10"/>
      <c r="W48" s="9"/>
      <c r="X48" s="12"/>
      <c r="Y48" s="53">
        <f t="shared" si="1"/>
        <v>16</v>
      </c>
    </row>
    <row r="49" spans="1:25" x14ac:dyDescent="0.25">
      <c r="A49" s="6">
        <v>443</v>
      </c>
      <c r="B49" s="7" t="s">
        <v>106</v>
      </c>
      <c r="C49" s="7" t="s">
        <v>220</v>
      </c>
      <c r="D49" s="20">
        <v>2000</v>
      </c>
      <c r="E49" s="9" t="s">
        <v>952</v>
      </c>
      <c r="F49" s="10"/>
      <c r="G49" s="11" t="s">
        <v>1025</v>
      </c>
      <c r="H49" s="12"/>
      <c r="I49" s="9" t="s">
        <v>1026</v>
      </c>
      <c r="J49" s="10">
        <v>5</v>
      </c>
      <c r="K49" s="11" t="s">
        <v>1027</v>
      </c>
      <c r="L49" s="12"/>
      <c r="M49" s="9" t="s">
        <v>1028</v>
      </c>
      <c r="N49" s="10">
        <f>5+6+4+5</f>
        <v>20</v>
      </c>
      <c r="O49" s="9" t="s">
        <v>1029</v>
      </c>
      <c r="P49" s="10">
        <f>9+6</f>
        <v>15</v>
      </c>
      <c r="Q49" s="9" t="s">
        <v>1030</v>
      </c>
      <c r="R49" s="10">
        <v>7</v>
      </c>
      <c r="S49" s="9"/>
      <c r="T49" s="10"/>
      <c r="U49" s="9"/>
      <c r="V49" s="10"/>
      <c r="W49" s="9"/>
      <c r="X49" s="12"/>
      <c r="Y49" s="53">
        <f t="shared" si="1"/>
        <v>47</v>
      </c>
    </row>
    <row r="50" spans="1:25" x14ac:dyDescent="0.25">
      <c r="A50" s="6">
        <v>476</v>
      </c>
      <c r="B50" s="7" t="s">
        <v>50</v>
      </c>
      <c r="C50" s="7" t="s">
        <v>1122</v>
      </c>
      <c r="D50" s="20">
        <v>2001</v>
      </c>
      <c r="E50" s="9" t="s">
        <v>48</v>
      </c>
      <c r="F50" s="10">
        <f>5+6+7+6</f>
        <v>24</v>
      </c>
      <c r="G50" s="11" t="s">
        <v>1123</v>
      </c>
      <c r="H50" s="12">
        <v>5</v>
      </c>
      <c r="I50" s="9" t="s">
        <v>789</v>
      </c>
      <c r="J50" s="10"/>
      <c r="K50" s="11" t="s">
        <v>1124</v>
      </c>
      <c r="L50" s="12"/>
      <c r="M50" s="9" t="s">
        <v>1125</v>
      </c>
      <c r="N50" s="10">
        <v>5</v>
      </c>
      <c r="O50" s="9" t="s">
        <v>626</v>
      </c>
      <c r="P50" s="10">
        <v>7</v>
      </c>
      <c r="Q50" s="9" t="s">
        <v>141</v>
      </c>
      <c r="R50" s="10">
        <v>6</v>
      </c>
      <c r="S50" s="9" t="s">
        <v>1126</v>
      </c>
      <c r="T50" s="10">
        <f>7+5</f>
        <v>12</v>
      </c>
      <c r="U50" s="9" t="s">
        <v>1127</v>
      </c>
      <c r="V50" s="10"/>
      <c r="W50" s="9" t="s">
        <v>731</v>
      </c>
      <c r="X50" s="12"/>
      <c r="Y50" s="53">
        <f t="shared" si="1"/>
        <v>59</v>
      </c>
    </row>
    <row r="51" spans="1:25" x14ac:dyDescent="0.25">
      <c r="A51" s="6">
        <v>495</v>
      </c>
      <c r="B51" s="7" t="s">
        <v>465</v>
      </c>
      <c r="C51" s="7" t="s">
        <v>802</v>
      </c>
      <c r="D51" s="20">
        <v>2003</v>
      </c>
      <c r="E51" s="9" t="s">
        <v>803</v>
      </c>
      <c r="F51" s="10">
        <v>2</v>
      </c>
      <c r="G51" s="11" t="s">
        <v>781</v>
      </c>
      <c r="H51" s="12">
        <f>6+3+7</f>
        <v>16</v>
      </c>
      <c r="I51" s="9"/>
      <c r="J51" s="10"/>
      <c r="K51" s="11"/>
      <c r="L51" s="12"/>
      <c r="M51" s="9"/>
      <c r="N51" s="10"/>
      <c r="O51" s="9"/>
      <c r="P51" s="10"/>
      <c r="Q51" s="9"/>
      <c r="R51" s="10"/>
      <c r="S51" s="9"/>
      <c r="T51" s="10"/>
      <c r="U51" s="9"/>
      <c r="V51" s="10"/>
      <c r="W51" s="9"/>
      <c r="X51" s="12"/>
      <c r="Y51" s="53">
        <f t="shared" si="1"/>
        <v>18</v>
      </c>
    </row>
    <row r="52" spans="1:25" x14ac:dyDescent="0.25">
      <c r="A52" s="6">
        <v>496</v>
      </c>
      <c r="B52" s="7" t="s">
        <v>175</v>
      </c>
      <c r="C52" s="7" t="s">
        <v>804</v>
      </c>
      <c r="D52" s="20">
        <v>2003</v>
      </c>
      <c r="E52" s="9" t="s">
        <v>713</v>
      </c>
      <c r="F52" s="10">
        <f>2+2</f>
        <v>4</v>
      </c>
      <c r="G52" s="11" t="s">
        <v>805</v>
      </c>
      <c r="H52" s="12"/>
      <c r="I52" s="9"/>
      <c r="J52" s="10"/>
      <c r="K52" s="11"/>
      <c r="L52" s="12"/>
      <c r="M52" s="9"/>
      <c r="N52" s="10"/>
      <c r="O52" s="9"/>
      <c r="P52" s="10"/>
      <c r="Q52" s="9"/>
      <c r="R52" s="10"/>
      <c r="S52" s="9"/>
      <c r="T52" s="10"/>
      <c r="U52" s="9"/>
      <c r="V52" s="10"/>
      <c r="W52" s="9"/>
      <c r="X52" s="12"/>
      <c r="Y52" s="53">
        <f t="shared" si="1"/>
        <v>4</v>
      </c>
    </row>
    <row r="53" spans="1:25" x14ac:dyDescent="0.25">
      <c r="A53" s="6">
        <v>497</v>
      </c>
      <c r="B53" s="7" t="s">
        <v>445</v>
      </c>
      <c r="C53" s="7" t="s">
        <v>806</v>
      </c>
      <c r="D53" s="20">
        <v>2003</v>
      </c>
      <c r="E53" s="9" t="s">
        <v>807</v>
      </c>
      <c r="F53" s="10">
        <f>3+3</f>
        <v>6</v>
      </c>
      <c r="G53" s="11" t="s">
        <v>808</v>
      </c>
      <c r="H53" s="12">
        <v>2</v>
      </c>
      <c r="I53" s="9"/>
      <c r="J53" s="10"/>
      <c r="K53" s="11"/>
      <c r="L53" s="12"/>
      <c r="M53" s="9"/>
      <c r="N53" s="10"/>
      <c r="O53" s="9"/>
      <c r="P53" s="10"/>
      <c r="Q53" s="9"/>
      <c r="R53" s="10"/>
      <c r="S53" s="9"/>
      <c r="T53" s="10"/>
      <c r="U53" s="9"/>
      <c r="V53" s="10"/>
      <c r="W53" s="9"/>
      <c r="X53" s="12"/>
      <c r="Y53" s="53">
        <f t="shared" si="1"/>
        <v>8</v>
      </c>
    </row>
    <row r="54" spans="1:25" x14ac:dyDescent="0.25">
      <c r="A54" s="6">
        <v>498</v>
      </c>
      <c r="B54" s="7" t="s">
        <v>809</v>
      </c>
      <c r="C54" s="7" t="s">
        <v>810</v>
      </c>
      <c r="D54" s="20">
        <v>2003</v>
      </c>
      <c r="E54" s="9" t="s">
        <v>811</v>
      </c>
      <c r="F54" s="10">
        <v>1</v>
      </c>
      <c r="G54" s="11" t="s">
        <v>812</v>
      </c>
      <c r="H54" s="12">
        <f>2+1</f>
        <v>3</v>
      </c>
      <c r="I54" s="9"/>
      <c r="J54" s="10"/>
      <c r="K54" s="11"/>
      <c r="L54" s="12"/>
      <c r="M54" s="9"/>
      <c r="N54" s="10"/>
      <c r="O54" s="9"/>
      <c r="P54" s="10"/>
      <c r="Q54" s="9"/>
      <c r="R54" s="10"/>
      <c r="S54" s="9"/>
      <c r="T54" s="10"/>
      <c r="U54" s="9"/>
      <c r="V54" s="10"/>
      <c r="W54" s="9"/>
      <c r="X54" s="12"/>
      <c r="Y54" s="53">
        <f t="shared" si="1"/>
        <v>4</v>
      </c>
    </row>
    <row r="55" spans="1:25" x14ac:dyDescent="0.25">
      <c r="A55" s="6">
        <v>499</v>
      </c>
      <c r="B55" s="7" t="s">
        <v>813</v>
      </c>
      <c r="C55" s="7" t="s">
        <v>814</v>
      </c>
      <c r="D55" s="20">
        <v>2002</v>
      </c>
      <c r="E55" s="9" t="s">
        <v>815</v>
      </c>
      <c r="F55" s="10">
        <f>2+1</f>
        <v>3</v>
      </c>
      <c r="G55" s="11" t="s">
        <v>816</v>
      </c>
      <c r="H55" s="12">
        <v>1</v>
      </c>
      <c r="I55" s="9"/>
      <c r="J55" s="10"/>
      <c r="K55" s="11"/>
      <c r="L55" s="12"/>
      <c r="M55" s="9"/>
      <c r="N55" s="10"/>
      <c r="O55" s="9"/>
      <c r="P55" s="10"/>
      <c r="Q55" s="9"/>
      <c r="R55" s="10"/>
      <c r="S55" s="9"/>
      <c r="T55" s="10"/>
      <c r="U55" s="9"/>
      <c r="V55" s="10"/>
      <c r="W55" s="9"/>
      <c r="X55" s="12"/>
      <c r="Y55" s="53">
        <f t="shared" si="1"/>
        <v>4</v>
      </c>
    </row>
    <row r="56" spans="1:25" x14ac:dyDescent="0.25">
      <c r="A56" s="6">
        <v>500</v>
      </c>
      <c r="B56" s="7" t="s">
        <v>817</v>
      </c>
      <c r="C56" s="7" t="s">
        <v>818</v>
      </c>
      <c r="D56" s="20">
        <v>2002</v>
      </c>
      <c r="E56" s="9" t="s">
        <v>819</v>
      </c>
      <c r="F56" s="10">
        <v>2</v>
      </c>
      <c r="G56" s="11" t="s">
        <v>820</v>
      </c>
      <c r="H56" s="12">
        <f>5+4+2</f>
        <v>11</v>
      </c>
      <c r="I56" s="9"/>
      <c r="J56" s="10"/>
      <c r="K56" s="11"/>
      <c r="L56" s="12"/>
      <c r="M56" s="9"/>
      <c r="N56" s="10"/>
      <c r="O56" s="9"/>
      <c r="P56" s="10"/>
      <c r="Q56" s="9"/>
      <c r="R56" s="10"/>
      <c r="S56" s="9"/>
      <c r="T56" s="10"/>
      <c r="U56" s="9"/>
      <c r="V56" s="10"/>
      <c r="W56" s="9"/>
      <c r="X56" s="12"/>
      <c r="Y56" s="53">
        <f t="shared" si="1"/>
        <v>13</v>
      </c>
    </row>
    <row r="57" spans="1:25" x14ac:dyDescent="0.25">
      <c r="A57" s="6">
        <v>501</v>
      </c>
      <c r="B57" s="7" t="s">
        <v>336</v>
      </c>
      <c r="C57" s="7" t="s">
        <v>821</v>
      </c>
      <c r="D57" s="20">
        <v>2003</v>
      </c>
      <c r="E57" s="9" t="s">
        <v>822</v>
      </c>
      <c r="F57" s="10">
        <v>1</v>
      </c>
      <c r="G57" s="11" t="s">
        <v>611</v>
      </c>
      <c r="H57" s="12">
        <f>3+3+2</f>
        <v>8</v>
      </c>
      <c r="I57" s="9"/>
      <c r="J57" s="10"/>
      <c r="K57" s="11"/>
      <c r="L57" s="12"/>
      <c r="M57" s="9"/>
      <c r="N57" s="10"/>
      <c r="O57" s="11"/>
      <c r="P57" s="12"/>
      <c r="Q57" s="9"/>
      <c r="R57" s="10"/>
      <c r="S57" s="9"/>
      <c r="T57" s="10"/>
      <c r="U57" s="9"/>
      <c r="V57" s="10"/>
      <c r="W57" s="9"/>
      <c r="X57" s="12"/>
      <c r="Y57" s="53">
        <f t="shared" si="1"/>
        <v>9</v>
      </c>
    </row>
    <row r="58" spans="1:25" x14ac:dyDescent="0.25">
      <c r="A58" s="6">
        <v>502</v>
      </c>
      <c r="B58" s="7" t="s">
        <v>823</v>
      </c>
      <c r="C58" s="7" t="s">
        <v>824</v>
      </c>
      <c r="D58" s="20">
        <v>2003</v>
      </c>
      <c r="E58" s="9" t="s">
        <v>825</v>
      </c>
      <c r="F58" s="10">
        <f>2+2</f>
        <v>4</v>
      </c>
      <c r="G58" s="11" t="s">
        <v>826</v>
      </c>
      <c r="H58" s="12">
        <v>1</v>
      </c>
      <c r="I58" s="9"/>
      <c r="J58" s="10"/>
      <c r="K58" s="11"/>
      <c r="L58" s="12"/>
      <c r="M58" s="9"/>
      <c r="N58" s="10"/>
      <c r="O58" s="9"/>
      <c r="P58" s="10"/>
      <c r="Q58" s="9"/>
      <c r="R58" s="10"/>
      <c r="S58" s="9"/>
      <c r="T58" s="10"/>
      <c r="U58" s="9"/>
      <c r="V58" s="10"/>
      <c r="W58" s="9"/>
      <c r="X58" s="12"/>
      <c r="Y58" s="53">
        <f t="shared" si="1"/>
        <v>5</v>
      </c>
    </row>
    <row r="59" spans="1:25" x14ac:dyDescent="0.25">
      <c r="A59" s="6">
        <v>503</v>
      </c>
      <c r="B59" s="7" t="s">
        <v>827</v>
      </c>
      <c r="C59" s="7" t="s">
        <v>828</v>
      </c>
      <c r="D59" s="20">
        <v>2003</v>
      </c>
      <c r="E59" s="9" t="s">
        <v>829</v>
      </c>
      <c r="F59" s="10">
        <f>2+1</f>
        <v>3</v>
      </c>
      <c r="G59" s="11" t="s">
        <v>830</v>
      </c>
      <c r="H59" s="12">
        <v>1</v>
      </c>
      <c r="I59" s="9"/>
      <c r="J59" s="10"/>
      <c r="K59" s="11"/>
      <c r="L59" s="12"/>
      <c r="M59" s="9"/>
      <c r="N59" s="10"/>
      <c r="O59" s="9"/>
      <c r="P59" s="10"/>
      <c r="Q59" s="9"/>
      <c r="R59" s="10"/>
      <c r="S59" s="9"/>
      <c r="T59" s="10"/>
      <c r="U59" s="9"/>
      <c r="V59" s="10"/>
      <c r="W59" s="9"/>
      <c r="X59" s="12"/>
      <c r="Y59" s="53">
        <f t="shared" si="1"/>
        <v>4</v>
      </c>
    </row>
    <row r="60" spans="1:25" x14ac:dyDescent="0.25">
      <c r="A60" s="6">
        <v>504</v>
      </c>
      <c r="B60" s="7" t="s">
        <v>465</v>
      </c>
      <c r="C60" s="7" t="s">
        <v>831</v>
      </c>
      <c r="D60" s="20">
        <v>2002</v>
      </c>
      <c r="E60" s="9" t="s">
        <v>832</v>
      </c>
      <c r="F60" s="10">
        <f>3+2</f>
        <v>5</v>
      </c>
      <c r="G60" s="11" t="s">
        <v>833</v>
      </c>
      <c r="H60" s="12">
        <v>1</v>
      </c>
      <c r="I60" s="9"/>
      <c r="J60" s="10"/>
      <c r="K60" s="11"/>
      <c r="L60" s="12"/>
      <c r="M60" s="9"/>
      <c r="N60" s="10"/>
      <c r="O60" s="9"/>
      <c r="P60" s="10"/>
      <c r="Q60" s="9"/>
      <c r="R60" s="10"/>
      <c r="S60" s="9"/>
      <c r="T60" s="10"/>
      <c r="U60" s="9"/>
      <c r="V60" s="10"/>
      <c r="W60" s="9"/>
      <c r="X60" s="12"/>
      <c r="Y60" s="53">
        <f t="shared" si="1"/>
        <v>6</v>
      </c>
    </row>
    <row r="61" spans="1:25" x14ac:dyDescent="0.25">
      <c r="A61" s="6">
        <v>505</v>
      </c>
      <c r="B61" s="7" t="s">
        <v>74</v>
      </c>
      <c r="C61" s="7" t="s">
        <v>834</v>
      </c>
      <c r="D61" s="20">
        <v>2002</v>
      </c>
      <c r="E61" s="9" t="s">
        <v>835</v>
      </c>
      <c r="F61" s="10">
        <f>2+1</f>
        <v>3</v>
      </c>
      <c r="G61" s="11" t="s">
        <v>836</v>
      </c>
      <c r="H61" s="12">
        <v>1</v>
      </c>
      <c r="I61" s="9"/>
      <c r="J61" s="10"/>
      <c r="K61" s="11"/>
      <c r="L61" s="12"/>
      <c r="M61" s="9"/>
      <c r="N61" s="10"/>
      <c r="O61" s="9"/>
      <c r="P61" s="10"/>
      <c r="Q61" s="9"/>
      <c r="R61" s="10"/>
      <c r="S61" s="9"/>
      <c r="T61" s="10"/>
      <c r="U61" s="9"/>
      <c r="V61" s="10"/>
      <c r="W61" s="9"/>
      <c r="X61" s="12"/>
      <c r="Y61" s="53">
        <f t="shared" si="1"/>
        <v>4</v>
      </c>
    </row>
    <row r="62" spans="1:25" x14ac:dyDescent="0.25">
      <c r="A62" s="6">
        <v>506</v>
      </c>
      <c r="B62" s="7" t="s">
        <v>875</v>
      </c>
      <c r="C62" s="7" t="s">
        <v>876</v>
      </c>
      <c r="D62" s="20">
        <v>2005</v>
      </c>
      <c r="E62" s="9" t="s">
        <v>667</v>
      </c>
      <c r="F62" s="10">
        <f>4+7+2</f>
        <v>13</v>
      </c>
      <c r="G62" s="11"/>
      <c r="H62" s="12"/>
      <c r="I62" s="9"/>
      <c r="J62" s="10"/>
      <c r="K62" s="11"/>
      <c r="L62" s="12"/>
      <c r="M62" s="9"/>
      <c r="N62" s="10"/>
      <c r="O62" s="9"/>
      <c r="P62" s="10"/>
      <c r="Q62" s="9"/>
      <c r="R62" s="10"/>
      <c r="S62" s="9"/>
      <c r="T62" s="10"/>
      <c r="U62" s="9"/>
      <c r="V62" s="10"/>
      <c r="W62" s="9"/>
      <c r="X62" s="12"/>
      <c r="Y62" s="53">
        <f t="shared" si="1"/>
        <v>13</v>
      </c>
    </row>
    <row r="63" spans="1:25" x14ac:dyDescent="0.25">
      <c r="A63" s="6">
        <v>507</v>
      </c>
      <c r="B63" s="7" t="s">
        <v>891</v>
      </c>
      <c r="C63" s="7" t="s">
        <v>892</v>
      </c>
      <c r="D63" s="20">
        <v>2004</v>
      </c>
      <c r="E63" s="9" t="s">
        <v>858</v>
      </c>
      <c r="F63" s="10">
        <f>5+5+6+6+6</f>
        <v>28</v>
      </c>
      <c r="G63" s="11"/>
      <c r="H63" s="12"/>
      <c r="I63" s="9"/>
      <c r="J63" s="10"/>
      <c r="K63" s="11"/>
      <c r="L63" s="12"/>
      <c r="M63" s="9"/>
      <c r="N63" s="10"/>
      <c r="O63" s="9"/>
      <c r="P63" s="10"/>
      <c r="Q63" s="9"/>
      <c r="R63" s="10"/>
      <c r="S63" s="9"/>
      <c r="T63" s="10"/>
      <c r="U63" s="9"/>
      <c r="V63" s="10"/>
      <c r="W63" s="9"/>
      <c r="X63" s="12"/>
      <c r="Y63" s="53">
        <f t="shared" si="1"/>
        <v>28</v>
      </c>
    </row>
    <row r="64" spans="1:25" x14ac:dyDescent="0.25">
      <c r="A64" s="6">
        <v>508</v>
      </c>
      <c r="B64" s="7" t="s">
        <v>889</v>
      </c>
      <c r="C64" s="7" t="s">
        <v>890</v>
      </c>
      <c r="D64" s="20">
        <v>2005</v>
      </c>
      <c r="E64" s="9" t="s">
        <v>391</v>
      </c>
      <c r="F64" s="10">
        <f>5+6+2+6+5</f>
        <v>24</v>
      </c>
      <c r="G64" s="11"/>
      <c r="H64" s="12"/>
      <c r="I64" s="9"/>
      <c r="J64" s="10"/>
      <c r="K64" s="11"/>
      <c r="L64" s="12"/>
      <c r="M64" s="9"/>
      <c r="N64" s="10"/>
      <c r="O64" s="9"/>
      <c r="P64" s="10"/>
      <c r="Q64" s="9"/>
      <c r="R64" s="10"/>
      <c r="S64" s="9"/>
      <c r="T64" s="10"/>
      <c r="U64" s="9"/>
      <c r="V64" s="10"/>
      <c r="W64" s="9"/>
      <c r="X64" s="12"/>
      <c r="Y64" s="53">
        <f t="shared" si="1"/>
        <v>24</v>
      </c>
    </row>
    <row r="65" spans="1:25" x14ac:dyDescent="0.25">
      <c r="A65" s="6">
        <v>509</v>
      </c>
      <c r="B65" s="7" t="s">
        <v>881</v>
      </c>
      <c r="C65" s="7" t="s">
        <v>882</v>
      </c>
      <c r="D65" s="20">
        <v>2004</v>
      </c>
      <c r="E65" s="9" t="s">
        <v>883</v>
      </c>
      <c r="F65" s="10">
        <f>5+6+6</f>
        <v>17</v>
      </c>
      <c r="G65" s="11"/>
      <c r="H65" s="12"/>
      <c r="I65" s="9"/>
      <c r="J65" s="10"/>
      <c r="K65" s="11"/>
      <c r="L65" s="12"/>
      <c r="M65" s="9"/>
      <c r="N65" s="10"/>
      <c r="O65" s="9"/>
      <c r="P65" s="10"/>
      <c r="Q65" s="9"/>
      <c r="R65" s="10"/>
      <c r="S65" s="9"/>
      <c r="T65" s="10"/>
      <c r="U65" s="9"/>
      <c r="V65" s="10"/>
      <c r="W65" s="9"/>
      <c r="X65" s="12"/>
      <c r="Y65" s="53">
        <f t="shared" si="1"/>
        <v>17</v>
      </c>
    </row>
    <row r="66" spans="1:25" x14ac:dyDescent="0.25">
      <c r="A66" s="6">
        <v>510</v>
      </c>
      <c r="B66" s="7" t="s">
        <v>884</v>
      </c>
      <c r="C66" s="7" t="s">
        <v>885</v>
      </c>
      <c r="D66" s="20">
        <v>2005</v>
      </c>
      <c r="E66" s="9" t="s">
        <v>886</v>
      </c>
      <c r="F66" s="10">
        <f>4+6+5</f>
        <v>15</v>
      </c>
      <c r="G66" s="11"/>
      <c r="H66" s="12"/>
      <c r="I66" s="9"/>
      <c r="J66" s="10"/>
      <c r="K66" s="11"/>
      <c r="L66" s="12"/>
      <c r="M66" s="9"/>
      <c r="N66" s="10"/>
      <c r="O66" s="9"/>
      <c r="P66" s="10"/>
      <c r="Q66" s="9"/>
      <c r="R66" s="10"/>
      <c r="S66" s="9"/>
      <c r="T66" s="10"/>
      <c r="U66" s="9"/>
      <c r="V66" s="10"/>
      <c r="W66" s="9"/>
      <c r="X66" s="12"/>
      <c r="Y66" s="53">
        <f t="shared" si="1"/>
        <v>15</v>
      </c>
    </row>
    <row r="67" spans="1:25" x14ac:dyDescent="0.25">
      <c r="A67" s="6">
        <v>511</v>
      </c>
      <c r="B67" s="7" t="s">
        <v>219</v>
      </c>
      <c r="C67" s="7" t="s">
        <v>877</v>
      </c>
      <c r="D67" s="20">
        <v>2004</v>
      </c>
      <c r="E67" s="9" t="s">
        <v>878</v>
      </c>
      <c r="F67" s="10">
        <f>5+6+8+5</f>
        <v>24</v>
      </c>
      <c r="G67" s="11"/>
      <c r="H67" s="12"/>
      <c r="I67" s="9"/>
      <c r="J67" s="10"/>
      <c r="K67" s="11"/>
      <c r="L67" s="12"/>
      <c r="M67" s="9"/>
      <c r="N67" s="10"/>
      <c r="O67" s="9"/>
      <c r="P67" s="10"/>
      <c r="Q67" s="9"/>
      <c r="R67" s="10"/>
      <c r="S67" s="9"/>
      <c r="T67" s="10"/>
      <c r="U67" s="9"/>
      <c r="V67" s="10"/>
      <c r="W67" s="9"/>
      <c r="X67" s="12"/>
      <c r="Y67" s="53">
        <f t="shared" si="1"/>
        <v>24</v>
      </c>
    </row>
    <row r="68" spans="1:25" x14ac:dyDescent="0.25">
      <c r="A68" s="6">
        <v>512</v>
      </c>
      <c r="B68" s="7" t="s">
        <v>182</v>
      </c>
      <c r="C68" s="7" t="s">
        <v>879</v>
      </c>
      <c r="D68" s="20">
        <v>2004</v>
      </c>
      <c r="E68" s="9" t="s">
        <v>880</v>
      </c>
      <c r="F68" s="10">
        <f>4+4+4</f>
        <v>12</v>
      </c>
      <c r="G68" s="11"/>
      <c r="H68" s="12"/>
      <c r="I68" s="9"/>
      <c r="J68" s="10"/>
      <c r="K68" s="11"/>
      <c r="L68" s="12"/>
      <c r="M68" s="9"/>
      <c r="N68" s="10"/>
      <c r="O68" s="9"/>
      <c r="P68" s="10"/>
      <c r="Q68" s="9"/>
      <c r="R68" s="10"/>
      <c r="S68" s="9"/>
      <c r="T68" s="10"/>
      <c r="U68" s="9"/>
      <c r="V68" s="10"/>
      <c r="W68" s="9"/>
      <c r="X68" s="12"/>
      <c r="Y68" s="53">
        <f t="shared" ref="Y68:Y74" si="2">F68+H68+J68+L68+N68+P68+R68+T68+V68+X68</f>
        <v>12</v>
      </c>
    </row>
    <row r="69" spans="1:25" x14ac:dyDescent="0.25">
      <c r="A69" s="6">
        <v>565</v>
      </c>
      <c r="B69" s="7" t="s">
        <v>129</v>
      </c>
      <c r="C69" s="7" t="s">
        <v>1191</v>
      </c>
      <c r="D69" s="20">
        <v>2004</v>
      </c>
      <c r="E69" s="9" t="s">
        <v>1302</v>
      </c>
      <c r="F69" s="10">
        <f>5+3</f>
        <v>8</v>
      </c>
      <c r="G69" s="11" t="s">
        <v>574</v>
      </c>
      <c r="H69" s="12"/>
      <c r="I69" s="9" t="s">
        <v>181</v>
      </c>
      <c r="J69" s="10"/>
      <c r="K69" s="11" t="s">
        <v>1303</v>
      </c>
      <c r="L69" s="12">
        <f>7+7</f>
        <v>14</v>
      </c>
      <c r="M69" s="9" t="s">
        <v>1304</v>
      </c>
      <c r="N69" s="10"/>
      <c r="O69" s="9" t="s">
        <v>731</v>
      </c>
      <c r="P69" s="10">
        <f>8+6+7+8+6+9</f>
        <v>44</v>
      </c>
      <c r="Q69" s="9" t="s">
        <v>1305</v>
      </c>
      <c r="R69" s="10"/>
      <c r="S69" s="9" t="s">
        <v>391</v>
      </c>
      <c r="T69" s="10"/>
      <c r="U69" s="9" t="s">
        <v>1306</v>
      </c>
      <c r="V69" s="10">
        <f>6+8</f>
        <v>14</v>
      </c>
      <c r="W69" s="9" t="s">
        <v>667</v>
      </c>
      <c r="X69" s="12">
        <f>6+5</f>
        <v>11</v>
      </c>
      <c r="Y69" s="53">
        <f t="shared" si="2"/>
        <v>91</v>
      </c>
    </row>
    <row r="70" spans="1:25" x14ac:dyDescent="0.25">
      <c r="A70" s="6">
        <v>566</v>
      </c>
      <c r="B70" s="7" t="s">
        <v>465</v>
      </c>
      <c r="C70" s="7" t="s">
        <v>1191</v>
      </c>
      <c r="D70" s="20">
        <v>2001</v>
      </c>
      <c r="E70" s="9" t="s">
        <v>1192</v>
      </c>
      <c r="F70" s="10">
        <f>6+6+9</f>
        <v>21</v>
      </c>
      <c r="G70" s="11" t="s">
        <v>731</v>
      </c>
      <c r="H70" s="12">
        <f>8+6+7+7</f>
        <v>28</v>
      </c>
      <c r="I70" s="9" t="s">
        <v>391</v>
      </c>
      <c r="J70" s="10"/>
      <c r="K70" s="11" t="s">
        <v>1193</v>
      </c>
      <c r="L70" s="12"/>
      <c r="M70" s="9" t="s">
        <v>576</v>
      </c>
      <c r="N70" s="10">
        <v>5</v>
      </c>
      <c r="O70" s="9" t="s">
        <v>1194</v>
      </c>
      <c r="P70" s="10">
        <f>6+5+5</f>
        <v>16</v>
      </c>
      <c r="Q70" s="9" t="s">
        <v>1195</v>
      </c>
      <c r="R70" s="10">
        <v>6</v>
      </c>
      <c r="S70" s="9" t="s">
        <v>1196</v>
      </c>
      <c r="T70" s="10"/>
      <c r="U70" s="9" t="s">
        <v>1197</v>
      </c>
      <c r="V70" s="10">
        <v>5</v>
      </c>
      <c r="W70" s="9"/>
      <c r="X70" s="12"/>
      <c r="Y70" s="53">
        <f t="shared" si="2"/>
        <v>81</v>
      </c>
    </row>
    <row r="71" spans="1:25" x14ac:dyDescent="0.25">
      <c r="A71" s="6">
        <v>583</v>
      </c>
      <c r="B71" s="7" t="s">
        <v>1507</v>
      </c>
      <c r="C71" s="7" t="s">
        <v>1508</v>
      </c>
      <c r="D71" s="20">
        <v>2006</v>
      </c>
      <c r="E71" s="9" t="s">
        <v>1511</v>
      </c>
      <c r="F71" s="10">
        <f>6+9+7+7+7</f>
        <v>36</v>
      </c>
      <c r="G71" s="11" t="s">
        <v>391</v>
      </c>
      <c r="H71" s="12">
        <f>7+6</f>
        <v>13</v>
      </c>
      <c r="I71" s="9" t="s">
        <v>1512</v>
      </c>
      <c r="J71" s="10">
        <f>7+7+9+8+9+9</f>
        <v>49</v>
      </c>
      <c r="K71" s="11" t="s">
        <v>1513</v>
      </c>
      <c r="L71" s="12">
        <f>9+7+8</f>
        <v>24</v>
      </c>
      <c r="M71" s="9" t="s">
        <v>1514</v>
      </c>
      <c r="N71" s="10">
        <v>5</v>
      </c>
      <c r="O71" s="9" t="s">
        <v>1302</v>
      </c>
      <c r="P71" s="10">
        <v>8</v>
      </c>
      <c r="Q71" s="9"/>
      <c r="R71" s="10"/>
      <c r="S71" s="9"/>
      <c r="T71" s="10"/>
      <c r="U71" s="9"/>
      <c r="V71" s="10"/>
      <c r="W71" s="9"/>
      <c r="X71" s="12"/>
      <c r="Y71" s="53">
        <f t="shared" si="2"/>
        <v>135</v>
      </c>
    </row>
    <row r="72" spans="1:25" x14ac:dyDescent="0.25">
      <c r="A72" s="6">
        <v>584</v>
      </c>
      <c r="B72" s="7" t="s">
        <v>1509</v>
      </c>
      <c r="C72" s="7" t="s">
        <v>1510</v>
      </c>
      <c r="D72" s="20">
        <v>2001</v>
      </c>
      <c r="E72" s="9" t="s">
        <v>1515</v>
      </c>
      <c r="F72" s="10">
        <f>6+6+6+4</f>
        <v>22</v>
      </c>
      <c r="G72" s="11" t="s">
        <v>346</v>
      </c>
      <c r="H72" s="12">
        <f>8+7+9+9+9+8+8</f>
        <v>58</v>
      </c>
      <c r="I72" s="9" t="s">
        <v>1516</v>
      </c>
      <c r="J72" s="10">
        <f>6+6+9+6+5+8</f>
        <v>40</v>
      </c>
      <c r="K72" s="11"/>
      <c r="L72" s="12"/>
      <c r="M72" s="9"/>
      <c r="N72" s="10"/>
      <c r="O72" s="9"/>
      <c r="P72" s="10"/>
      <c r="Q72" s="9"/>
      <c r="R72" s="10"/>
      <c r="S72" s="9"/>
      <c r="T72" s="10"/>
      <c r="U72" s="9"/>
      <c r="V72" s="10"/>
      <c r="W72" s="9"/>
      <c r="X72" s="12"/>
      <c r="Y72" s="53">
        <f t="shared" si="2"/>
        <v>120</v>
      </c>
    </row>
    <row r="73" spans="1:25" x14ac:dyDescent="0.25">
      <c r="A73" s="6">
        <v>609</v>
      </c>
      <c r="B73" s="7" t="s">
        <v>1467</v>
      </c>
      <c r="C73" s="7" t="s">
        <v>1468</v>
      </c>
      <c r="D73" s="20">
        <v>1999</v>
      </c>
      <c r="E73" s="9" t="s">
        <v>795</v>
      </c>
      <c r="F73" s="10">
        <v>4</v>
      </c>
      <c r="G73" s="11" t="s">
        <v>1469</v>
      </c>
      <c r="H73" s="12">
        <f>6+4+9+4</f>
        <v>23</v>
      </c>
      <c r="I73" s="9" t="s">
        <v>1470</v>
      </c>
      <c r="J73" s="10"/>
      <c r="K73" s="11" t="s">
        <v>1471</v>
      </c>
      <c r="L73" s="12"/>
      <c r="M73" s="9" t="s">
        <v>1472</v>
      </c>
      <c r="N73" s="10"/>
      <c r="O73" s="9" t="s">
        <v>1473</v>
      </c>
      <c r="P73" s="10">
        <v>5</v>
      </c>
      <c r="Q73" s="9" t="s">
        <v>1474</v>
      </c>
      <c r="R73" s="10"/>
      <c r="S73" s="9" t="s">
        <v>1475</v>
      </c>
      <c r="T73" s="10">
        <v>5</v>
      </c>
      <c r="U73" s="9" t="s">
        <v>1476</v>
      </c>
      <c r="V73" s="10"/>
      <c r="W73" s="9" t="s">
        <v>1477</v>
      </c>
      <c r="X73" s="12">
        <f>7+3</f>
        <v>10</v>
      </c>
      <c r="Y73" s="53">
        <f t="shared" si="2"/>
        <v>47</v>
      </c>
    </row>
    <row r="74" spans="1:25" ht="15.75" thickBot="1" x14ac:dyDescent="0.3">
      <c r="A74" s="13">
        <v>626</v>
      </c>
      <c r="B74" s="14" t="s">
        <v>777</v>
      </c>
      <c r="C74" s="14" t="s">
        <v>778</v>
      </c>
      <c r="D74" s="21">
        <v>2005</v>
      </c>
      <c r="E74" s="16" t="s">
        <v>779</v>
      </c>
      <c r="F74" s="17">
        <f>7+6+5+8+5+6</f>
        <v>37</v>
      </c>
      <c r="G74" s="18" t="s">
        <v>780</v>
      </c>
      <c r="H74" s="19">
        <f>7+3</f>
        <v>10</v>
      </c>
      <c r="I74" s="16" t="s">
        <v>781</v>
      </c>
      <c r="J74" s="17">
        <f>5+6+5</f>
        <v>16</v>
      </c>
      <c r="K74" s="18"/>
      <c r="L74" s="19"/>
      <c r="M74" s="16"/>
      <c r="N74" s="17"/>
      <c r="O74" s="16"/>
      <c r="P74" s="17"/>
      <c r="Q74" s="16"/>
      <c r="R74" s="17"/>
      <c r="S74" s="16"/>
      <c r="T74" s="17"/>
      <c r="U74" s="16"/>
      <c r="V74" s="17"/>
      <c r="W74" s="16"/>
      <c r="X74" s="19"/>
      <c r="Y74" s="54">
        <f t="shared" si="2"/>
        <v>63</v>
      </c>
    </row>
    <row r="77" spans="1:25" ht="15.75" thickBot="1" x14ac:dyDescent="0.3">
      <c r="A77" s="23" t="s">
        <v>20</v>
      </c>
      <c r="B77" s="24"/>
      <c r="C77" s="24"/>
      <c r="D77" s="25"/>
      <c r="E77" s="24"/>
      <c r="F77"/>
      <c r="G77"/>
    </row>
    <row r="78" spans="1:25" ht="15.75" thickBot="1" x14ac:dyDescent="0.3">
      <c r="A78" s="26" t="s">
        <v>21</v>
      </c>
      <c r="B78" s="27" t="s">
        <v>22</v>
      </c>
      <c r="C78" s="27" t="s">
        <v>2</v>
      </c>
      <c r="D78" s="47" t="s">
        <v>3</v>
      </c>
      <c r="E78" s="30" t="s">
        <v>1</v>
      </c>
      <c r="F78"/>
      <c r="G78"/>
    </row>
    <row r="79" spans="1:25" ht="15.75" thickTop="1" x14ac:dyDescent="0.25">
      <c r="A79" s="31" t="s">
        <v>23</v>
      </c>
      <c r="B79" s="32">
        <v>146</v>
      </c>
      <c r="C79" s="33" t="s">
        <v>1138</v>
      </c>
      <c r="D79" s="43" t="s">
        <v>1139</v>
      </c>
      <c r="E79" s="34">
        <v>60</v>
      </c>
      <c r="F79"/>
      <c r="G79"/>
    </row>
    <row r="80" spans="1:25" x14ac:dyDescent="0.25">
      <c r="A80" s="35" t="s">
        <v>24</v>
      </c>
      <c r="B80" s="36">
        <v>135</v>
      </c>
      <c r="C80" s="33" t="s">
        <v>1507</v>
      </c>
      <c r="D80" s="33" t="s">
        <v>1508</v>
      </c>
      <c r="E80" s="37">
        <v>583</v>
      </c>
      <c r="F80"/>
      <c r="G80"/>
    </row>
    <row r="81" spans="1:7" ht="15.75" thickBot="1" x14ac:dyDescent="0.3">
      <c r="A81" s="38" t="s">
        <v>25</v>
      </c>
      <c r="B81" s="39">
        <v>135</v>
      </c>
      <c r="C81" s="40" t="s">
        <v>455</v>
      </c>
      <c r="D81" s="40" t="s">
        <v>1182</v>
      </c>
      <c r="E81" s="41">
        <v>263</v>
      </c>
      <c r="F81"/>
      <c r="G81"/>
    </row>
    <row r="82" spans="1:7" x14ac:dyDescent="0.25">
      <c r="A82" s="42"/>
      <c r="B82"/>
      <c r="C82"/>
      <c r="D82"/>
      <c r="E82"/>
      <c r="F82"/>
      <c r="G82"/>
    </row>
    <row r="83" spans="1:7" x14ac:dyDescent="0.25">
      <c r="A83" s="42"/>
      <c r="B83"/>
      <c r="C83"/>
      <c r="D83"/>
      <c r="E83"/>
      <c r="F83"/>
      <c r="G83"/>
    </row>
    <row r="84" spans="1:7" ht="15.75" thickBot="1" x14ac:dyDescent="0.3">
      <c r="A84" s="23" t="s">
        <v>26</v>
      </c>
      <c r="B84" s="24"/>
      <c r="C84" s="24"/>
      <c r="D84" s="25"/>
      <c r="E84" s="24"/>
      <c r="F84"/>
      <c r="G84"/>
    </row>
    <row r="85" spans="1:7" ht="15.75" thickBot="1" x14ac:dyDescent="0.3">
      <c r="A85" s="26" t="s">
        <v>21</v>
      </c>
      <c r="B85" s="27" t="s">
        <v>22</v>
      </c>
      <c r="C85" s="96" t="s">
        <v>27</v>
      </c>
      <c r="D85" s="96"/>
      <c r="E85" s="27" t="s">
        <v>2</v>
      </c>
      <c r="F85" s="71" t="s">
        <v>3</v>
      </c>
      <c r="G85" s="30" t="s">
        <v>1</v>
      </c>
    </row>
    <row r="86" spans="1:7" ht="15.75" thickTop="1" x14ac:dyDescent="0.25">
      <c r="A86" s="31" t="s">
        <v>23</v>
      </c>
      <c r="B86" s="72">
        <v>58</v>
      </c>
      <c r="C86" s="97" t="s">
        <v>346</v>
      </c>
      <c r="D86" s="97"/>
      <c r="E86" s="48" t="s">
        <v>1509</v>
      </c>
      <c r="F86" s="48" t="s">
        <v>1510</v>
      </c>
      <c r="G86" s="44">
        <v>584</v>
      </c>
    </row>
    <row r="87" spans="1:7" x14ac:dyDescent="0.25">
      <c r="A87" s="35" t="s">
        <v>24</v>
      </c>
      <c r="B87" s="73">
        <v>55</v>
      </c>
      <c r="C87" s="98" t="s">
        <v>1141</v>
      </c>
      <c r="D87" s="98"/>
      <c r="E87" s="33" t="s">
        <v>1138</v>
      </c>
      <c r="F87" s="33" t="s">
        <v>1139</v>
      </c>
      <c r="G87" s="45">
        <v>60</v>
      </c>
    </row>
    <row r="88" spans="1:7" ht="15.75" thickBot="1" x14ac:dyDescent="0.3">
      <c r="A88" s="38" t="s">
        <v>25</v>
      </c>
      <c r="B88" s="70">
        <v>49</v>
      </c>
      <c r="C88" s="94" t="s">
        <v>1512</v>
      </c>
      <c r="D88" s="95"/>
      <c r="E88" s="40" t="s">
        <v>1507</v>
      </c>
      <c r="F88" s="40" t="s">
        <v>1508</v>
      </c>
      <c r="G88" s="74">
        <v>583</v>
      </c>
    </row>
  </sheetData>
  <sortState ref="A4:Y74">
    <sortCondition ref="A4:A74"/>
  </sortState>
  <mergeCells count="20">
    <mergeCell ref="Y2:Y3"/>
    <mergeCell ref="A1:N1"/>
    <mergeCell ref="A2:A3"/>
    <mergeCell ref="B2:B3"/>
    <mergeCell ref="C2:C3"/>
    <mergeCell ref="D2:D3"/>
    <mergeCell ref="E2:F2"/>
    <mergeCell ref="G2:H2"/>
    <mergeCell ref="I2:J2"/>
    <mergeCell ref="K2:L2"/>
    <mergeCell ref="M2:N2"/>
    <mergeCell ref="C85:D85"/>
    <mergeCell ref="C86:D86"/>
    <mergeCell ref="C87:D87"/>
    <mergeCell ref="C88:D88"/>
    <mergeCell ref="W2:X2"/>
    <mergeCell ref="O2:P2"/>
    <mergeCell ref="Q2:R2"/>
    <mergeCell ref="S2:T2"/>
    <mergeCell ref="U2:V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85" zoomScaleNormal="85" workbookViewId="0">
      <pane ySplit="3" topLeftCell="A4" activePane="bottomLeft" state="frozen"/>
      <selection pane="bottomLeft" activeCell="A30" sqref="A30"/>
    </sheetView>
  </sheetViews>
  <sheetFormatPr defaultRowHeight="15" x14ac:dyDescent="0.25"/>
  <cols>
    <col min="3" max="3" width="14.140625" bestFit="1" customWidth="1"/>
    <col min="4" max="4" width="18.7109375" customWidth="1"/>
    <col min="5" max="5" width="5.7109375" customWidth="1"/>
    <col min="6" max="6" width="25.140625" bestFit="1" customWidth="1"/>
    <col min="7" max="7" width="5.7109375" customWidth="1"/>
    <col min="8" max="8" width="18.7109375" customWidth="1"/>
    <col min="9" max="9" width="5.7109375" customWidth="1"/>
    <col min="10" max="10" width="18.7109375" customWidth="1"/>
    <col min="11" max="11" width="5.7109375" customWidth="1"/>
    <col min="12" max="12" width="18.7109375" customWidth="1"/>
    <col min="13" max="13" width="5.7109375" customWidth="1"/>
    <col min="14" max="14" width="18.7109375" customWidth="1"/>
    <col min="15" max="15" width="5.7109375" customWidth="1"/>
    <col min="16" max="16" width="18.7109375" customWidth="1"/>
    <col min="17" max="17" width="5.7109375" customWidth="1"/>
    <col min="18" max="18" width="18.7109375" customWidth="1"/>
    <col min="19" max="19" width="5.7109375" customWidth="1"/>
    <col min="20" max="20" width="18.7109375" customWidth="1"/>
    <col min="21" max="21" width="5.7109375" customWidth="1"/>
  </cols>
  <sheetData>
    <row r="1" spans="1:22" s="1" customFormat="1" ht="24" thickBot="1" x14ac:dyDescent="0.4">
      <c r="A1" s="101" t="s">
        <v>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22" s="1" customFormat="1" x14ac:dyDescent="0.25">
      <c r="A2" s="80" t="s">
        <v>1</v>
      </c>
      <c r="B2" s="82" t="s">
        <v>2</v>
      </c>
      <c r="C2" s="84" t="s">
        <v>3</v>
      </c>
      <c r="D2" s="77" t="s">
        <v>9</v>
      </c>
      <c r="E2" s="78"/>
      <c r="F2" s="86" t="s">
        <v>10</v>
      </c>
      <c r="G2" s="87"/>
      <c r="H2" s="77" t="s">
        <v>11</v>
      </c>
      <c r="I2" s="78"/>
      <c r="J2" s="86" t="s">
        <v>12</v>
      </c>
      <c r="K2" s="87"/>
      <c r="L2" s="77" t="s">
        <v>13</v>
      </c>
      <c r="M2" s="78"/>
      <c r="N2" s="86" t="s">
        <v>14</v>
      </c>
      <c r="O2" s="87"/>
      <c r="P2" s="77" t="s">
        <v>15</v>
      </c>
      <c r="Q2" s="78"/>
      <c r="R2" s="77" t="s">
        <v>16</v>
      </c>
      <c r="S2" s="87"/>
      <c r="T2" s="77" t="s">
        <v>17</v>
      </c>
      <c r="U2" s="87"/>
      <c r="V2" s="102" t="s">
        <v>19</v>
      </c>
    </row>
    <row r="3" spans="1:22" s="1" customFormat="1" x14ac:dyDescent="0.25">
      <c r="A3" s="81"/>
      <c r="B3" s="83"/>
      <c r="C3" s="85"/>
      <c r="D3" s="2" t="s">
        <v>4</v>
      </c>
      <c r="E3" s="3" t="s">
        <v>5</v>
      </c>
      <c r="F3" s="4" t="s">
        <v>4</v>
      </c>
      <c r="G3" s="5" t="s">
        <v>5</v>
      </c>
      <c r="H3" s="2" t="s">
        <v>4</v>
      </c>
      <c r="I3" s="3" t="s">
        <v>5</v>
      </c>
      <c r="J3" s="4" t="s">
        <v>4</v>
      </c>
      <c r="K3" s="5" t="s">
        <v>5</v>
      </c>
      <c r="L3" s="2" t="s">
        <v>4</v>
      </c>
      <c r="M3" s="3" t="s">
        <v>5</v>
      </c>
      <c r="N3" s="4" t="s">
        <v>4</v>
      </c>
      <c r="O3" s="5" t="s">
        <v>5</v>
      </c>
      <c r="P3" s="2" t="s">
        <v>4</v>
      </c>
      <c r="Q3" s="3" t="s">
        <v>5</v>
      </c>
      <c r="R3" s="2" t="s">
        <v>4</v>
      </c>
      <c r="S3" s="5" t="s">
        <v>5</v>
      </c>
      <c r="T3" s="2" t="s">
        <v>4</v>
      </c>
      <c r="U3" s="5" t="s">
        <v>5</v>
      </c>
      <c r="V3" s="103"/>
    </row>
    <row r="4" spans="1:22" s="1" customFormat="1" x14ac:dyDescent="0.25">
      <c r="A4" s="6">
        <v>37</v>
      </c>
      <c r="B4" s="7" t="s">
        <v>131</v>
      </c>
      <c r="C4" s="8" t="s">
        <v>735</v>
      </c>
      <c r="D4" s="9" t="s">
        <v>736</v>
      </c>
      <c r="E4" s="10">
        <f>4+5</f>
        <v>9</v>
      </c>
      <c r="F4" s="11" t="s">
        <v>737</v>
      </c>
      <c r="G4" s="12">
        <v>5</v>
      </c>
      <c r="H4" s="9" t="s">
        <v>738</v>
      </c>
      <c r="I4" s="10">
        <v>4</v>
      </c>
      <c r="J4" s="11" t="s">
        <v>739</v>
      </c>
      <c r="K4" s="12">
        <f>4+4+4</f>
        <v>12</v>
      </c>
      <c r="L4" s="9"/>
      <c r="M4" s="10"/>
      <c r="N4" s="11"/>
      <c r="O4" s="12"/>
      <c r="P4" s="9"/>
      <c r="Q4" s="10"/>
      <c r="R4" s="9"/>
      <c r="S4" s="12"/>
      <c r="T4" s="9"/>
      <c r="U4" s="12"/>
      <c r="V4" s="53">
        <f t="shared" ref="V4:V12" si="0">E4+G4+I4+K4+M4+O4+Q4+S4+U4</f>
        <v>30</v>
      </c>
    </row>
    <row r="5" spans="1:22" s="1" customFormat="1" x14ac:dyDescent="0.25">
      <c r="A5" s="6">
        <v>62</v>
      </c>
      <c r="B5" s="7" t="s">
        <v>29</v>
      </c>
      <c r="C5" s="8" t="s">
        <v>30</v>
      </c>
      <c r="D5" s="9" t="s">
        <v>31</v>
      </c>
      <c r="E5" s="10">
        <f>3+2+1</f>
        <v>6</v>
      </c>
      <c r="F5" s="11" t="s">
        <v>32</v>
      </c>
      <c r="G5" s="12">
        <v>1</v>
      </c>
      <c r="H5" s="9"/>
      <c r="I5" s="10"/>
      <c r="J5" s="11"/>
      <c r="K5" s="12"/>
      <c r="L5" s="9"/>
      <c r="M5" s="10"/>
      <c r="N5" s="11"/>
      <c r="O5" s="12"/>
      <c r="P5" s="9"/>
      <c r="Q5" s="10"/>
      <c r="R5" s="9"/>
      <c r="S5" s="12"/>
      <c r="T5" s="9"/>
      <c r="U5" s="12"/>
      <c r="V5" s="53">
        <f t="shared" si="0"/>
        <v>7</v>
      </c>
    </row>
    <row r="6" spans="1:22" s="1" customFormat="1" x14ac:dyDescent="0.25">
      <c r="A6" s="6">
        <v>97</v>
      </c>
      <c r="B6" s="7" t="s">
        <v>313</v>
      </c>
      <c r="C6" s="8" t="s">
        <v>774</v>
      </c>
      <c r="D6" s="9">
        <v>1949</v>
      </c>
      <c r="E6" s="10">
        <f>5+1+7+6</f>
        <v>19</v>
      </c>
      <c r="F6" s="9"/>
      <c r="G6" s="12"/>
      <c r="H6" s="9"/>
      <c r="I6" s="10"/>
      <c r="J6" s="11"/>
      <c r="K6" s="12"/>
      <c r="L6" s="9"/>
      <c r="M6" s="10"/>
      <c r="N6" s="11"/>
      <c r="O6" s="12"/>
      <c r="P6" s="9"/>
      <c r="Q6" s="10"/>
      <c r="R6" s="9"/>
      <c r="S6" s="12"/>
      <c r="T6" s="9"/>
      <c r="U6" s="12"/>
      <c r="V6" s="53">
        <f t="shared" si="0"/>
        <v>19</v>
      </c>
    </row>
    <row r="7" spans="1:22" s="1" customFormat="1" x14ac:dyDescent="0.25">
      <c r="A7" s="6">
        <v>174</v>
      </c>
      <c r="B7" s="7" t="s">
        <v>87</v>
      </c>
      <c r="C7" s="8" t="s">
        <v>88</v>
      </c>
      <c r="D7" s="9" t="s">
        <v>98</v>
      </c>
      <c r="E7" s="10">
        <f>6+5+2</f>
        <v>13</v>
      </c>
      <c r="F7" s="9" t="s">
        <v>99</v>
      </c>
      <c r="G7" s="12"/>
      <c r="H7" s="9" t="s">
        <v>100</v>
      </c>
      <c r="I7" s="10">
        <f>5+6+8+5</f>
        <v>24</v>
      </c>
      <c r="J7" s="9" t="s">
        <v>101</v>
      </c>
      <c r="K7" s="12">
        <f>5+4</f>
        <v>9</v>
      </c>
      <c r="L7" s="9" t="s">
        <v>102</v>
      </c>
      <c r="M7" s="10"/>
      <c r="N7" s="9" t="s">
        <v>103</v>
      </c>
      <c r="O7" s="12"/>
      <c r="P7" s="9" t="s">
        <v>104</v>
      </c>
      <c r="Q7" s="10"/>
      <c r="R7" s="9" t="s">
        <v>105</v>
      </c>
      <c r="S7" s="12">
        <f>4+3</f>
        <v>7</v>
      </c>
      <c r="T7" s="9"/>
      <c r="U7" s="12"/>
      <c r="V7" s="53">
        <f t="shared" si="0"/>
        <v>53</v>
      </c>
    </row>
    <row r="8" spans="1:22" s="1" customFormat="1" x14ac:dyDescent="0.25">
      <c r="A8" s="6">
        <v>226</v>
      </c>
      <c r="B8" s="7" t="s">
        <v>109</v>
      </c>
      <c r="C8" s="8" t="s">
        <v>110</v>
      </c>
      <c r="D8" s="9" t="s">
        <v>186</v>
      </c>
      <c r="E8" s="10">
        <f>5+4+9+6+7</f>
        <v>31</v>
      </c>
      <c r="F8" s="11" t="s">
        <v>187</v>
      </c>
      <c r="G8" s="12"/>
      <c r="H8" s="9" t="s">
        <v>188</v>
      </c>
      <c r="I8" s="10">
        <v>8</v>
      </c>
      <c r="J8" s="11" t="s">
        <v>189</v>
      </c>
      <c r="K8" s="12">
        <f>5+10+10</f>
        <v>25</v>
      </c>
      <c r="L8" s="9" t="s">
        <v>190</v>
      </c>
      <c r="M8" s="10"/>
      <c r="N8" s="11" t="s">
        <v>191</v>
      </c>
      <c r="O8" s="12">
        <f>6+10+6+7</f>
        <v>29</v>
      </c>
      <c r="P8" s="9" t="s">
        <v>192</v>
      </c>
      <c r="Q8" s="10">
        <v>6</v>
      </c>
      <c r="R8" s="9" t="s">
        <v>193</v>
      </c>
      <c r="S8" s="12"/>
      <c r="T8" s="9" t="s">
        <v>194</v>
      </c>
      <c r="U8" s="12">
        <v>6</v>
      </c>
      <c r="V8" s="53">
        <f t="shared" si="0"/>
        <v>105</v>
      </c>
    </row>
    <row r="9" spans="1:22" s="1" customFormat="1" x14ac:dyDescent="0.25">
      <c r="A9" s="6">
        <v>413</v>
      </c>
      <c r="B9" s="7" t="s">
        <v>182</v>
      </c>
      <c r="C9" s="8" t="s">
        <v>183</v>
      </c>
      <c r="D9" s="9" t="s">
        <v>184</v>
      </c>
      <c r="E9" s="10">
        <f>5+4+6+5+6+2</f>
        <v>28</v>
      </c>
      <c r="F9" s="11" t="s">
        <v>185</v>
      </c>
      <c r="G9" s="12">
        <f>5+6+4</f>
        <v>15</v>
      </c>
      <c r="H9" s="9">
        <v>1976</v>
      </c>
      <c r="I9" s="10">
        <f>5+1</f>
        <v>6</v>
      </c>
      <c r="J9" s="11"/>
      <c r="K9" s="12"/>
      <c r="L9" s="9"/>
      <c r="M9" s="10"/>
      <c r="N9" s="11"/>
      <c r="O9" s="12"/>
      <c r="P9" s="9"/>
      <c r="Q9" s="10"/>
      <c r="R9" s="9"/>
      <c r="S9" s="12"/>
      <c r="T9" s="9"/>
      <c r="U9" s="12"/>
      <c r="V9" s="53">
        <f t="shared" si="0"/>
        <v>49</v>
      </c>
    </row>
    <row r="10" spans="1:22" s="1" customFormat="1" x14ac:dyDescent="0.25">
      <c r="A10" s="6">
        <v>445</v>
      </c>
      <c r="B10" s="7" t="s">
        <v>1358</v>
      </c>
      <c r="C10" s="8" t="s">
        <v>1359</v>
      </c>
      <c r="D10" s="9" t="s">
        <v>1369</v>
      </c>
      <c r="E10" s="10">
        <f>5+5+4</f>
        <v>14</v>
      </c>
      <c r="F10" s="11" t="s">
        <v>1370</v>
      </c>
      <c r="G10" s="12">
        <f>5+6+6+3</f>
        <v>20</v>
      </c>
      <c r="H10" s="9" t="s">
        <v>1371</v>
      </c>
      <c r="I10" s="10">
        <f>5+5+6+5+2</f>
        <v>23</v>
      </c>
      <c r="J10" s="11"/>
      <c r="K10" s="12"/>
      <c r="L10" s="9"/>
      <c r="M10" s="10"/>
      <c r="N10" s="11"/>
      <c r="O10" s="12"/>
      <c r="P10" s="9"/>
      <c r="Q10" s="10"/>
      <c r="R10" s="9"/>
      <c r="S10" s="12"/>
      <c r="T10" s="9"/>
      <c r="U10" s="12"/>
      <c r="V10" s="53">
        <f t="shared" si="0"/>
        <v>57</v>
      </c>
    </row>
    <row r="11" spans="1:22" s="1" customFormat="1" x14ac:dyDescent="0.25">
      <c r="A11" s="62">
        <v>482</v>
      </c>
      <c r="B11" s="63" t="s">
        <v>850</v>
      </c>
      <c r="C11" s="64" t="s">
        <v>632</v>
      </c>
      <c r="D11" s="65" t="s">
        <v>851</v>
      </c>
      <c r="E11" s="66">
        <v>5</v>
      </c>
      <c r="F11" s="67" t="s">
        <v>852</v>
      </c>
      <c r="G11" s="68">
        <f>8+5+8+5</f>
        <v>26</v>
      </c>
      <c r="H11" s="65" t="s">
        <v>853</v>
      </c>
      <c r="I11" s="66">
        <f>5+8+5+3</f>
        <v>21</v>
      </c>
      <c r="J11" s="67" t="s">
        <v>854</v>
      </c>
      <c r="K11" s="68">
        <f>7+6+5+4+7+8+4</f>
        <v>41</v>
      </c>
      <c r="L11" s="65"/>
      <c r="M11" s="66"/>
      <c r="N11" s="67"/>
      <c r="O11" s="68"/>
      <c r="P11" s="65"/>
      <c r="Q11" s="66"/>
      <c r="R11" s="65"/>
      <c r="S11" s="68"/>
      <c r="T11" s="65"/>
      <c r="U11" s="68"/>
      <c r="V11" s="69">
        <f t="shared" si="0"/>
        <v>93</v>
      </c>
    </row>
    <row r="12" spans="1:22" s="1" customFormat="1" ht="15.75" thickBot="1" x14ac:dyDescent="0.3">
      <c r="A12" s="13">
        <v>483</v>
      </c>
      <c r="B12" s="14" t="s">
        <v>445</v>
      </c>
      <c r="C12" s="15" t="s">
        <v>647</v>
      </c>
      <c r="D12" s="16" t="s">
        <v>648</v>
      </c>
      <c r="E12" s="17">
        <v>7</v>
      </c>
      <c r="F12" s="18" t="s">
        <v>649</v>
      </c>
      <c r="G12" s="19">
        <f>4+3+4</f>
        <v>11</v>
      </c>
      <c r="H12" s="16" t="s">
        <v>650</v>
      </c>
      <c r="I12" s="17">
        <f>7+5+7+4</f>
        <v>23</v>
      </c>
      <c r="J12" s="18" t="s">
        <v>651</v>
      </c>
      <c r="K12" s="19"/>
      <c r="L12" s="16" t="s">
        <v>1155</v>
      </c>
      <c r="M12" s="17">
        <f>6+8+8+5</f>
        <v>27</v>
      </c>
      <c r="N12" s="18"/>
      <c r="O12" s="19"/>
      <c r="P12" s="16"/>
      <c r="Q12" s="17"/>
      <c r="R12" s="16"/>
      <c r="S12" s="19"/>
      <c r="T12" s="16"/>
      <c r="U12" s="19"/>
      <c r="V12" s="54">
        <f t="shared" si="0"/>
        <v>68</v>
      </c>
    </row>
    <row r="15" spans="1:22" ht="15.75" thickBot="1" x14ac:dyDescent="0.3">
      <c r="A15" s="23" t="s">
        <v>20</v>
      </c>
      <c r="B15" s="24"/>
      <c r="C15" s="24"/>
      <c r="D15" s="25"/>
      <c r="E15" s="24"/>
    </row>
    <row r="16" spans="1:22" ht="15.75" thickBot="1" x14ac:dyDescent="0.3">
      <c r="A16" s="26" t="s">
        <v>21</v>
      </c>
      <c r="B16" s="27" t="s">
        <v>22</v>
      </c>
      <c r="C16" s="27" t="s">
        <v>2</v>
      </c>
      <c r="D16" s="47" t="s">
        <v>3</v>
      </c>
      <c r="E16" s="61" t="s">
        <v>1</v>
      </c>
    </row>
    <row r="17" spans="1:7" ht="15.75" thickTop="1" x14ac:dyDescent="0.25">
      <c r="A17" s="31" t="s">
        <v>23</v>
      </c>
      <c r="B17" s="49">
        <v>105</v>
      </c>
      <c r="C17" s="33" t="s">
        <v>109</v>
      </c>
      <c r="D17" s="43" t="s">
        <v>110</v>
      </c>
      <c r="E17" s="34">
        <v>226</v>
      </c>
      <c r="F17" s="50"/>
      <c r="G17" s="50"/>
    </row>
    <row r="18" spans="1:7" x14ac:dyDescent="0.25">
      <c r="A18" s="35" t="s">
        <v>24</v>
      </c>
      <c r="B18" s="51">
        <v>93</v>
      </c>
      <c r="C18" s="33" t="s">
        <v>1560</v>
      </c>
      <c r="D18" s="33" t="s">
        <v>632</v>
      </c>
      <c r="E18" s="37">
        <v>482</v>
      </c>
      <c r="F18" s="50"/>
      <c r="G18" s="50"/>
    </row>
    <row r="19" spans="1:7" ht="15.75" thickBot="1" x14ac:dyDescent="0.3">
      <c r="A19" s="38" t="s">
        <v>25</v>
      </c>
      <c r="B19" s="52">
        <v>68</v>
      </c>
      <c r="C19" s="40" t="s">
        <v>1561</v>
      </c>
      <c r="D19" s="40" t="s">
        <v>647</v>
      </c>
      <c r="E19" s="41">
        <v>483</v>
      </c>
      <c r="F19" s="50"/>
      <c r="G19" s="50"/>
    </row>
    <row r="20" spans="1:7" x14ac:dyDescent="0.25">
      <c r="A20" s="42"/>
      <c r="B20" s="50"/>
      <c r="C20" s="50"/>
      <c r="D20" s="50"/>
      <c r="E20" s="50"/>
      <c r="F20" s="50"/>
      <c r="G20" s="50"/>
    </row>
    <row r="21" spans="1:7" x14ac:dyDescent="0.25">
      <c r="A21" s="42"/>
      <c r="B21" s="50"/>
      <c r="C21" s="50"/>
      <c r="D21" s="50"/>
      <c r="E21" s="50"/>
      <c r="F21" s="50"/>
      <c r="G21" s="50"/>
    </row>
    <row r="22" spans="1:7" ht="15.75" thickBot="1" x14ac:dyDescent="0.3">
      <c r="A22" s="23" t="s">
        <v>26</v>
      </c>
      <c r="B22" s="25"/>
      <c r="C22" s="25"/>
      <c r="D22" s="25"/>
      <c r="E22" s="25"/>
      <c r="F22" s="50"/>
      <c r="G22" s="50"/>
    </row>
    <row r="23" spans="1:7" ht="15.75" thickBot="1" x14ac:dyDescent="0.3">
      <c r="A23" s="26" t="s">
        <v>21</v>
      </c>
      <c r="B23" s="47" t="s">
        <v>22</v>
      </c>
      <c r="C23" s="96" t="s">
        <v>27</v>
      </c>
      <c r="D23" s="96"/>
      <c r="E23" s="47" t="s">
        <v>2</v>
      </c>
      <c r="F23" s="47" t="s">
        <v>3</v>
      </c>
      <c r="G23" s="61" t="s">
        <v>1</v>
      </c>
    </row>
    <row r="24" spans="1:7" ht="15.75" thickTop="1" x14ac:dyDescent="0.25">
      <c r="A24" s="31" t="s">
        <v>23</v>
      </c>
      <c r="B24" s="58">
        <v>41</v>
      </c>
      <c r="C24" s="104" t="s">
        <v>854</v>
      </c>
      <c r="D24" s="104"/>
      <c r="E24" s="48" t="s">
        <v>850</v>
      </c>
      <c r="F24" s="48" t="s">
        <v>632</v>
      </c>
      <c r="G24" s="44">
        <v>482</v>
      </c>
    </row>
    <row r="25" spans="1:7" x14ac:dyDescent="0.25">
      <c r="A25" s="35" t="s">
        <v>24</v>
      </c>
      <c r="B25" s="59">
        <v>31</v>
      </c>
      <c r="C25" s="105" t="s">
        <v>186</v>
      </c>
      <c r="D25" s="105"/>
      <c r="E25" s="33" t="s">
        <v>1562</v>
      </c>
      <c r="F25" s="33" t="s">
        <v>110</v>
      </c>
      <c r="G25" s="45">
        <v>226</v>
      </c>
    </row>
    <row r="26" spans="1:7" ht="15.75" thickBot="1" x14ac:dyDescent="0.3">
      <c r="A26" s="38" t="s">
        <v>25</v>
      </c>
      <c r="B26" s="60">
        <v>29</v>
      </c>
      <c r="C26" s="106" t="s">
        <v>191</v>
      </c>
      <c r="D26" s="106"/>
      <c r="E26" s="40" t="s">
        <v>1562</v>
      </c>
      <c r="F26" s="40" t="s">
        <v>110</v>
      </c>
      <c r="G26" s="46">
        <v>226</v>
      </c>
    </row>
  </sheetData>
  <sortState ref="A4:V12">
    <sortCondition ref="A4:A12"/>
  </sortState>
  <mergeCells count="18">
    <mergeCell ref="C26:D26"/>
    <mergeCell ref="P2:Q2"/>
    <mergeCell ref="A1:Q1"/>
    <mergeCell ref="A2:A3"/>
    <mergeCell ref="B2:B3"/>
    <mergeCell ref="C2:C3"/>
    <mergeCell ref="D2:E2"/>
    <mergeCell ref="F2:G2"/>
    <mergeCell ref="H2:I2"/>
    <mergeCell ref="J2:K2"/>
    <mergeCell ref="L2:M2"/>
    <mergeCell ref="N2:O2"/>
    <mergeCell ref="V2:V3"/>
    <mergeCell ref="R2:S2"/>
    <mergeCell ref="C23:D23"/>
    <mergeCell ref="C24:D24"/>
    <mergeCell ref="C25:D25"/>
    <mergeCell ref="T2:U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Dospělí</vt:lpstr>
      <vt:lpstr>Děti</vt:lpstr>
      <vt:lpstr>Historické</vt:lpstr>
    </vt:vector>
  </TitlesOfParts>
  <Company>Twinscomp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Knapová Gabriela</dc:creator>
  <cp:lastModifiedBy>Knapová Gabriela</cp:lastModifiedBy>
  <dcterms:created xsi:type="dcterms:W3CDTF">2012-10-12T15:21:36Z</dcterms:created>
  <dcterms:modified xsi:type="dcterms:W3CDTF">2013-11-25T11:38:10Z</dcterms:modified>
</cp:coreProperties>
</file>